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d03\Box\Accelerator Sponsored Research Administration\Post Award\Accelerator\DD.PITA &amp; Industrial Board\YR 26 (FY24)\Template Development-Budgets\"/>
    </mc:Choice>
  </mc:AlternateContent>
  <workbookProtection workbookPassword="CABB" lockStructure="1"/>
  <bookViews>
    <workbookView xWindow="0" yWindow="0" windowWidth="19200" windowHeight="5895" activeTab="1"/>
  </bookViews>
  <sheets>
    <sheet name="Cover - Signature(s) Required" sheetId="2" r:id="rId1"/>
    <sheet name="Budget" sheetId="1" r:id="rId2"/>
    <sheet name="Rates and Calcs" sheetId="3" state="hidden" r:id="rId3"/>
  </sheets>
  <definedNames>
    <definedName name="_xlnm.Print_Area" localSheetId="1">Budget!$A$1:$G$123</definedName>
    <definedName name="_xlnm.Print_Area" localSheetId="0">'Cover - Signature(s) Required'!$A$1:$F$36</definedName>
  </definedNames>
  <calcPr calcId="162913"/>
</workbook>
</file>

<file path=xl/calcChain.xml><?xml version="1.0" encoding="utf-8"?>
<calcChain xmlns="http://schemas.openxmlformats.org/spreadsheetml/2006/main">
  <c r="F69" i="3" l="1"/>
  <c r="E69" i="3"/>
  <c r="D69" i="3"/>
  <c r="C69" i="3"/>
  <c r="C38" i="1"/>
  <c r="Q18" i="3"/>
  <c r="J18" i="3" s="1"/>
  <c r="Q19" i="3"/>
  <c r="J19" i="3" s="1"/>
  <c r="Q20" i="3"/>
  <c r="J20" i="3" s="1"/>
  <c r="Q21" i="3"/>
  <c r="J21" i="3" s="1"/>
  <c r="Q22" i="3"/>
  <c r="J22" i="3" s="1"/>
  <c r="Q23" i="3"/>
  <c r="J23" i="3" s="1"/>
  <c r="Q24" i="3"/>
  <c r="J24" i="3" s="1"/>
  <c r="Q25" i="3"/>
  <c r="J25" i="3" s="1"/>
  <c r="Q26" i="3"/>
  <c r="J26" i="3" s="1"/>
  <c r="Q27" i="3"/>
  <c r="J27" i="3" s="1"/>
  <c r="Q17" i="3"/>
  <c r="J17" i="3" s="1"/>
  <c r="B36" i="1"/>
  <c r="B37" i="1"/>
  <c r="B35" i="1"/>
  <c r="B33" i="1"/>
  <c r="B32" i="1"/>
  <c r="B31" i="1"/>
  <c r="C8" i="3" l="1"/>
  <c r="C7" i="3"/>
  <c r="C6" i="3"/>
  <c r="D35" i="1" l="1"/>
  <c r="F7" i="3" l="1"/>
  <c r="F33" i="1"/>
  <c r="F32" i="1"/>
  <c r="F30" i="1"/>
  <c r="F31" i="1" s="1"/>
  <c r="C9" i="3"/>
  <c r="F9" i="3" s="1"/>
  <c r="F8" i="3" l="1"/>
  <c r="K18" i="3"/>
  <c r="K19" i="3"/>
  <c r="K20" i="3"/>
  <c r="K21" i="3"/>
  <c r="K22" i="3"/>
  <c r="K23" i="3"/>
  <c r="K24" i="3"/>
  <c r="K25" i="3"/>
  <c r="K26" i="3"/>
  <c r="K17" i="3"/>
  <c r="D25" i="1" l="1"/>
  <c r="E14" i="3"/>
  <c r="L25" i="3"/>
  <c r="L24" i="3"/>
  <c r="H25" i="3" l="1"/>
  <c r="I25" i="3" s="1"/>
  <c r="G25" i="3"/>
  <c r="K27" i="3"/>
  <c r="K16" i="3"/>
  <c r="J16" i="3"/>
  <c r="I23" i="3"/>
  <c r="H27" i="3"/>
  <c r="I27" i="3" s="1"/>
  <c r="H24" i="3"/>
  <c r="I24" i="3" s="1"/>
  <c r="H23" i="3"/>
  <c r="H22" i="3"/>
  <c r="I22" i="3" s="1"/>
  <c r="H21" i="3"/>
  <c r="I21" i="3" s="1"/>
  <c r="H20" i="3"/>
  <c r="I20" i="3" s="1"/>
  <c r="H19" i="3"/>
  <c r="I19" i="3" s="1"/>
  <c r="H18" i="3"/>
  <c r="I18" i="3" s="1"/>
  <c r="H17" i="3"/>
  <c r="I17" i="3" s="1"/>
  <c r="H16" i="3"/>
  <c r="L27" i="3"/>
  <c r="L26" i="3"/>
  <c r="L23" i="3"/>
  <c r="L22" i="3"/>
  <c r="L21" i="3"/>
  <c r="L20" i="3"/>
  <c r="L19" i="3"/>
  <c r="L18" i="3"/>
  <c r="L17" i="3"/>
  <c r="L16" i="3"/>
  <c r="F15" i="3"/>
  <c r="E15" i="3"/>
  <c r="D15" i="3"/>
  <c r="C15" i="3"/>
  <c r="F34" i="1" l="1"/>
  <c r="F36" i="1"/>
  <c r="I16" i="3"/>
  <c r="F37" i="1"/>
  <c r="M27" i="3"/>
  <c r="M25" i="3"/>
  <c r="M17" i="3"/>
  <c r="M18" i="3"/>
  <c r="M19" i="3"/>
  <c r="M16" i="3"/>
  <c r="M20" i="3"/>
  <c r="M22" i="3"/>
  <c r="M23" i="3"/>
  <c r="M21" i="3"/>
  <c r="F35" i="1" l="1"/>
  <c r="G24" i="3"/>
  <c r="H26" i="3" l="1"/>
  <c r="M26" i="3" s="1"/>
  <c r="M24" i="3"/>
  <c r="I26" i="3" l="1"/>
  <c r="C10" i="3"/>
  <c r="F10" i="3" s="1"/>
  <c r="F6" i="3"/>
  <c r="G42" i="1"/>
  <c r="G41" i="1"/>
  <c r="F11" i="3" l="1"/>
  <c r="G53" i="1" s="1"/>
  <c r="G55" i="1" s="1"/>
  <c r="G43" i="1"/>
  <c r="C11" i="3"/>
  <c r="E9" i="2"/>
  <c r="E8" i="2"/>
  <c r="B9" i="2"/>
  <c r="B8" i="2"/>
  <c r="B6" i="2"/>
  <c r="D31" i="1"/>
  <c r="D36" i="1"/>
  <c r="G71" i="1"/>
  <c r="G24" i="1"/>
  <c r="G25" i="1" s="1"/>
  <c r="G46" i="1"/>
  <c r="G47" i="1"/>
  <c r="G61" i="1"/>
  <c r="G67" i="1"/>
  <c r="D7" i="3" l="1"/>
  <c r="E7" i="3" s="1"/>
  <c r="D8" i="3"/>
  <c r="E8" i="3" s="1"/>
  <c r="D9" i="3"/>
  <c r="D10" i="3"/>
  <c r="E10" i="3" s="1"/>
  <c r="D6" i="3"/>
  <c r="E6" i="3" s="1"/>
  <c r="D53" i="1"/>
  <c r="G35" i="1"/>
  <c r="G30" i="1"/>
  <c r="G34" i="1"/>
  <c r="G48" i="1"/>
  <c r="D32" i="1"/>
  <c r="G32" i="1" s="1"/>
  <c r="G26" i="1"/>
  <c r="G36" i="1"/>
  <c r="D37" i="1"/>
  <c r="G37" i="1" s="1"/>
  <c r="E9" i="3" l="1"/>
  <c r="E11" i="3" s="1"/>
  <c r="G80" i="1"/>
  <c r="C15" i="2" s="1"/>
  <c r="G31" i="1"/>
  <c r="D11" i="3"/>
  <c r="D33" i="1"/>
  <c r="G33" i="1" s="1"/>
  <c r="G38" i="1" s="1"/>
  <c r="G77" i="1" l="1"/>
  <c r="G73" i="1"/>
  <c r="G75" i="1" s="1"/>
  <c r="G78" i="1" s="1"/>
  <c r="D88" i="1" s="1"/>
  <c r="D89" i="1" s="1"/>
  <c r="C14" i="2" s="1"/>
  <c r="C16" i="2" s="1"/>
  <c r="G81" i="1" l="1"/>
  <c r="G79" i="1" s="1"/>
  <c r="C12" i="2"/>
</calcChain>
</file>

<file path=xl/sharedStrings.xml><?xml version="1.0" encoding="utf-8"?>
<sst xmlns="http://schemas.openxmlformats.org/spreadsheetml/2006/main" count="250" uniqueCount="167">
  <si>
    <t>AY/CY/SU</t>
  </si>
  <si>
    <t>Subtotal</t>
  </si>
  <si>
    <t>Amount</t>
  </si>
  <si>
    <t>SUBTOTAL</t>
  </si>
  <si>
    <t>EXPENDITURE TYPE</t>
  </si>
  <si>
    <t>Consulting</t>
  </si>
  <si>
    <t>Subrecipient name</t>
  </si>
  <si>
    <t>Submission Date</t>
  </si>
  <si>
    <t>Destination/Purpose</t>
  </si>
  <si>
    <t>Amount Requested</t>
  </si>
  <si>
    <t xml:space="preserve">LEVERAGE  </t>
  </si>
  <si>
    <t xml:space="preserve">UNDERGRADUATES </t>
  </si>
  <si>
    <t>Manual Enter</t>
  </si>
  <si>
    <t>Automatic Calculation</t>
  </si>
  <si>
    <t>HOME DEPT</t>
  </si>
  <si>
    <t>PITA TUITION</t>
  </si>
  <si>
    <t>Oracle String</t>
  </si>
  <si>
    <t>FT PERSONNEL (Last, First)</t>
  </si>
  <si>
    <t xml:space="preserve">GRAD STUDENT NAME </t>
  </si>
  <si>
    <t>Please fill in the blue cells only. Benefits, F&amp;A, leverage, GTR tuition cost-sharing, and totals will be automatically calculated.</t>
  </si>
  <si>
    <t>Leverage Requirement</t>
  </si>
  <si>
    <t>This color block =</t>
  </si>
  <si>
    <t>PI Department</t>
  </si>
  <si>
    <t>PI Phone Extension</t>
  </si>
  <si>
    <t xml:space="preserve">CARNEGIE MELLON UNIVERSITY SUBMISSION </t>
  </si>
  <si>
    <t>Title</t>
  </si>
  <si>
    <t>Technical Supplies/Services</t>
  </si>
  <si>
    <t>(please provide contact information; description of work, base pay and POP)</t>
  </si>
  <si>
    <t>Other - please enter/explain below (not included in this operating subtotal)</t>
  </si>
  <si>
    <t>Check here if sub info is attached to proposal</t>
  </si>
  <si>
    <t>place before PITA funds are released to the project and must be expended during the duration of the PITA project.</t>
  </si>
  <si>
    <r>
      <rPr>
        <b/>
        <sz val="12"/>
        <rFont val="Arial"/>
        <family val="2"/>
      </rPr>
      <t>OPERATING</t>
    </r>
    <r>
      <rPr>
        <b/>
        <sz val="10"/>
        <rFont val="Arial"/>
        <family val="2"/>
      </rPr>
      <t xml:space="preserve"> (Expenses must be justified in Technical Proposal)</t>
    </r>
  </si>
  <si>
    <r>
      <rPr>
        <b/>
        <sz val="12"/>
        <rFont val="Arial"/>
        <family val="2"/>
      </rPr>
      <t>TRAVEL</t>
    </r>
    <r>
      <rPr>
        <b/>
        <sz val="10"/>
        <rFont val="Arial"/>
        <family val="2"/>
      </rPr>
      <t xml:space="preserve"> - MUST BE WITHIN PENNSYLVANIA</t>
    </r>
  </si>
  <si>
    <r>
      <rPr>
        <b/>
        <sz val="12"/>
        <rFont val="Arial"/>
        <family val="2"/>
      </rPr>
      <t>SUBCONTRACT</t>
    </r>
    <r>
      <rPr>
        <b/>
        <sz val="10"/>
        <color indexed="62"/>
        <rFont val="Arial"/>
        <family val="2"/>
      </rPr>
      <t xml:space="preserve"> (please attach subrecipient budget, SOW and contact information)</t>
    </r>
  </si>
  <si>
    <r>
      <rPr>
        <b/>
        <sz val="12"/>
        <rFont val="Arial"/>
        <family val="2"/>
      </rPr>
      <t xml:space="preserve">OTHER </t>
    </r>
    <r>
      <rPr>
        <b/>
        <sz val="10"/>
        <rFont val="Arial"/>
        <family val="2"/>
      </rPr>
      <t>(Please justify)</t>
    </r>
  </si>
  <si>
    <t>Principal Investigator(s)  Name</t>
  </si>
  <si>
    <t>Cost Share String</t>
  </si>
  <si>
    <t>Co-Principal Investigator(s)  Name</t>
  </si>
  <si>
    <t>Co-PI Phone Extension</t>
  </si>
  <si>
    <t>*Faculty Cost Share - Any faculty time that is cost shared should be entered at the end of this form in the cost share section, not above</t>
  </si>
  <si>
    <t>Co-PI Department</t>
  </si>
  <si>
    <t>12 MONTH DEPT. STIPEND</t>
  </si>
  <si>
    <t>SOURCE #1</t>
  </si>
  <si>
    <t>Name of Organization:</t>
  </si>
  <si>
    <t>Amount:</t>
  </si>
  <si>
    <t>Oracle String:</t>
  </si>
  <si>
    <t>Dept:</t>
  </si>
  <si>
    <t>SOURCE #2</t>
  </si>
  <si>
    <t>SOURCE #3</t>
  </si>
  <si>
    <r>
      <t xml:space="preserve">Is match pending                    </t>
    </r>
    <r>
      <rPr>
        <b/>
        <sz val="10"/>
        <rFont val="Arial"/>
        <family val="2"/>
      </rPr>
      <t>YES</t>
    </r>
    <r>
      <rPr>
        <sz val="10"/>
        <rFont val="Arial"/>
        <family val="2"/>
      </rPr>
      <t xml:space="preserve">       or           </t>
    </r>
    <r>
      <rPr>
        <b/>
        <sz val="10"/>
        <rFont val="Arial"/>
        <family val="2"/>
      </rPr>
      <t>NO</t>
    </r>
  </si>
  <si>
    <r>
      <t xml:space="preserve">PA Company         </t>
    </r>
    <r>
      <rPr>
        <b/>
        <sz val="9"/>
        <rFont val="Arial"/>
        <family val="2"/>
      </rPr>
      <t>YES</t>
    </r>
    <r>
      <rPr>
        <sz val="9"/>
        <rFont val="Arial"/>
        <family val="2"/>
      </rPr>
      <t xml:space="preserve">       or           </t>
    </r>
    <r>
      <rPr>
        <b/>
        <sz val="9"/>
        <rFont val="Arial"/>
        <family val="2"/>
      </rPr>
      <t>NO</t>
    </r>
  </si>
  <si>
    <r>
      <t xml:space="preserve">PA Company       </t>
    </r>
    <r>
      <rPr>
        <b/>
        <sz val="10"/>
        <rFont val="Arial"/>
        <family val="2"/>
      </rPr>
      <t>YES       or           NO</t>
    </r>
  </si>
  <si>
    <t>Contact Name:</t>
  </si>
  <si>
    <t>Source of Funding:</t>
  </si>
  <si>
    <r>
      <t xml:space="preserve">Is Match Pending                    </t>
    </r>
    <r>
      <rPr>
        <b/>
        <sz val="10"/>
        <rFont val="Arial"/>
        <family val="2"/>
      </rPr>
      <t>YES</t>
    </r>
    <r>
      <rPr>
        <sz val="10"/>
        <rFont val="Arial"/>
        <family val="2"/>
      </rPr>
      <t xml:space="preserve">       or           </t>
    </r>
    <r>
      <rPr>
        <b/>
        <sz val="10"/>
        <rFont val="Arial"/>
        <family val="2"/>
      </rPr>
      <t>NO</t>
    </r>
  </si>
  <si>
    <r>
      <t xml:space="preserve">Is Match Pending       </t>
    </r>
    <r>
      <rPr>
        <b/>
        <sz val="9"/>
        <rFont val="Arial"/>
        <family val="2"/>
      </rPr>
      <t>YES</t>
    </r>
    <r>
      <rPr>
        <sz val="9"/>
        <rFont val="Arial"/>
        <family val="2"/>
      </rPr>
      <t xml:space="preserve">       or        </t>
    </r>
    <r>
      <rPr>
        <b/>
        <sz val="9"/>
        <rFont val="Arial"/>
        <family val="2"/>
      </rPr>
      <t>NO</t>
    </r>
  </si>
  <si>
    <t>{Other state funding cannot be used as a source of cost-share; in addition, sources of cost share from unrestricted funds must be transferred in to a cost-share award at time of award}</t>
  </si>
  <si>
    <t>External Partners (in-kind)</t>
  </si>
  <si>
    <t>Engineering Research Accelerator</t>
  </si>
  <si>
    <t xml:space="preserve">Internal CMU Cost-share or Cash Contributions </t>
  </si>
  <si>
    <t>INDIRECT = Subtotal of all direct costs* 10%</t>
  </si>
  <si>
    <t>Requested Budget Total</t>
  </si>
  <si>
    <t>PI Phone Ext</t>
  </si>
  <si>
    <t>Co-PI Phone Ext</t>
  </si>
  <si>
    <t>Department Head Signature</t>
  </si>
  <si>
    <t>COST SHARE</t>
  </si>
  <si>
    <t>Documentation has been provided to support the required tuition cost share</t>
  </si>
  <si>
    <t>Print/Sign/Upload or For Digital Signature: {File\Info\Protect Document, Protect Workbook or Protect Presentation\Add a Digital Signature}</t>
  </si>
  <si>
    <t>Hours Total</t>
  </si>
  <si>
    <t>Dept</t>
  </si>
  <si>
    <t>Tuition</t>
  </si>
  <si>
    <t>COST SHARE COMMITMENT</t>
  </si>
  <si>
    <t>TOTAL Cost share Commitment</t>
  </si>
  <si>
    <t>CARNEGIE MELLON UNIVERSITY/ENGINEERING RESEARCH ACCELERATOR</t>
  </si>
  <si>
    <t>PITA  SIGNATURE  SHEET</t>
  </si>
  <si>
    <t>*If digital signatures are not used for the above, please upload signature file separately in the PITA application jot form.</t>
  </si>
  <si>
    <t>Principle Investigator Signature/Dept</t>
  </si>
  <si>
    <t>Business Manager Signature/Dept</t>
  </si>
  <si>
    <t>Co-Principle Investigator Signature/Dept</t>
  </si>
  <si>
    <t>**If students are budgeted from multiple departments, cost share  is allocated from each student's home department.</t>
  </si>
  <si>
    <t xml:space="preserve">SOURCES OF LEVERAGE </t>
  </si>
  <si>
    <t>This section  below is only required if the student budgeted and/or any of the cost-share committed belongs to the Co-Pi's Dept.</t>
  </si>
  <si>
    <t xml:space="preserve">Required Student Cost Share </t>
  </si>
  <si>
    <t xml:space="preserve">{Please be advised that the Company, Agency, etc. will need to complete the PITA 23 Cost Sharing Form that will be provided when project is complete.} </t>
  </si>
  <si>
    <t>The Requirement is $1 of expended leverage for each $1 of expended PITA funds plus 32% of tuition.  The leveraged funds identified in a project proposal must be in</t>
  </si>
  <si>
    <t>External/Internal (1:1)</t>
  </si>
  <si>
    <t>Mandatory 1:1 Cost Share</t>
  </si>
  <si>
    <t>Documentation has been provided to support the 1:1 cost share match</t>
  </si>
  <si>
    <t>*Above must not be tenure-track faculty</t>
  </si>
  <si>
    <t>DEPT</t>
  </si>
  <si>
    <t>CEE</t>
  </si>
  <si>
    <t>BME</t>
  </si>
  <si>
    <t>ECE</t>
  </si>
  <si>
    <t>EPP</t>
  </si>
  <si>
    <t>MSE</t>
  </si>
  <si>
    <t>Mech E</t>
  </si>
  <si>
    <t>Chem E</t>
  </si>
  <si>
    <t>STUDENT DEPTS AND FRACTION</t>
  </si>
  <si>
    <t>Index</t>
  </si>
  <si>
    <t>Percentage</t>
  </si>
  <si>
    <t>STUDENT HEALTH INSURANCE</t>
  </si>
  <si>
    <t>Subtotal for PITA stipend/tuition/health insurance only</t>
  </si>
  <si>
    <t>Subtotal salaries + benefits</t>
  </si>
  <si>
    <t>MS STUDENTS</t>
  </si>
  <si>
    <t>Other</t>
  </si>
  <si>
    <t>PITA 1-Student Cap</t>
  </si>
  <si>
    <t>None</t>
  </si>
  <si>
    <t>TOTAL REQUESTED PITA AMOUNT  * Limited to the Maximum Indicated on the Line Immediately Above</t>
  </si>
  <si>
    <t>Blue color</t>
  </si>
  <si>
    <t>% EFFORT (Max is 1 student FTE)</t>
  </si>
  <si>
    <t>Dept split</t>
  </si>
  <si>
    <t>PITA MAXIMUM AMOUNT (Equal to 1 Student FTE in the Indicated Department(s))</t>
  </si>
  <si>
    <t>Budget Completed By:</t>
  </si>
  <si>
    <t>PITA Rate of Pay ($ per hour)</t>
  </si>
  <si>
    <t>IC Computing</t>
  </si>
  <si>
    <t>SCS</t>
  </si>
  <si>
    <t>MCS</t>
  </si>
  <si>
    <t>Heinz</t>
  </si>
  <si>
    <t>(Inflated) PITA Tuition &amp; Tech Fee*</t>
  </si>
  <si>
    <t>(Inflated) Cost Shared Tuition &amp; Tech Fee**</t>
  </si>
  <si>
    <t>(Inflated) PITA 1 Student Cap***</t>
  </si>
  <si>
    <t>Basis:</t>
  </si>
  <si>
    <t>(Inflated) SHIP</t>
  </si>
  <si>
    <t>(Inflated) IC Computing</t>
  </si>
  <si>
    <t>Stipend Inflator</t>
  </si>
  <si>
    <t>Tuition Inflator</t>
  </si>
  <si>
    <t>Robotics</t>
  </si>
  <si>
    <t>&lt;INSERT EXT&gt;</t>
  </si>
  <si>
    <t>&lt;INSERT PI NAME&gt;</t>
  </si>
  <si>
    <t>&lt;INSERT CoPI NAME&gt;</t>
  </si>
  <si>
    <t>&lt;INSERT TITLE&gt;</t>
  </si>
  <si>
    <t>Notes on the table to the left:</t>
  </si>
  <si>
    <t>The Dept Split calcs the ratios of the specified student percentages and does total (cell d8) 100%.</t>
  </si>
  <si>
    <t xml:space="preserve">Percentage (cells C6 and C7) are taken directly from Budget cells D30 and D34.  The total percentage (cell c8) can be less than 100%.  </t>
  </si>
  <si>
    <t xml:space="preserve">Index (cells B6 and B7) are the index value returned from the Budget sheet listboxes C30 and C34 and correspond to the department index values in the table below (cells A12-A25).      </t>
  </si>
  <si>
    <t>PITA Student Cap</t>
  </si>
  <si>
    <t>The PITA student cap amounts (cells E6 and E7) are the values from the cells M12-M25 below (based on index value) multiplied by the Dept Split amounts (cells D6 and D7).  The total (cell E8) is the PITA Maximum Amount.</t>
  </si>
  <si>
    <t xml:space="preserve">      1. Insert a new worksheet row just above the last row (the one with Dept name "Other".</t>
  </si>
  <si>
    <t xml:space="preserve">      2. Enter the information for the new department.   You should copy calcs from the row above to the extent that they are applicable.</t>
  </si>
  <si>
    <t xml:space="preserve">      3. Update the Index values in column A so that "Other" has the last value.   Because these are index values corresponding the listboxes they must increment by 1 (i.e., you can't make Other have an index of 99).</t>
  </si>
  <si>
    <t>IMPORTANT:     If another department is to be added to the listboxes and to the table above, it should be done as follows to keep calculations and lookups intact:</t>
  </si>
  <si>
    <t>*** ((68% of Tuition + Tech Fee) + SHIP + IC Computing) * (1 + inflator)</t>
  </si>
  <si>
    <t xml:space="preserve">      4. Confirm that the listboxes are now updated to reflect the added row and that the budget sheet seems to be operating correctly..</t>
  </si>
  <si>
    <t xml:space="preserve">FY24 </t>
  </si>
  <si>
    <t>* 68% of (Tuition + Tech Fee) * (1 + inflator)</t>
  </si>
  <si>
    <t>(Inflated) Stipend</t>
  </si>
  <si>
    <t>** 32% of (Tuition + Tech Fee) * (1 + inflator)</t>
  </si>
  <si>
    <t>PITA (FY 24) BUDGET - Year 26 - Period of Performance August 1, 2024 through July 31, 2025</t>
  </si>
  <si>
    <t>PITA Year 26 Rate</t>
  </si>
  <si>
    <t>% EFFORT</t>
  </si>
  <si>
    <t>SHIP Inflator</t>
  </si>
  <si>
    <t>Position (Res. Fac., ...)</t>
  </si>
  <si>
    <t>PD1 Dept</t>
  </si>
  <si>
    <t>PD2 Dept</t>
  </si>
  <si>
    <t>PD3 Dept</t>
  </si>
  <si>
    <t>Stud1 Dept</t>
  </si>
  <si>
    <t>Stud2 Dept</t>
  </si>
  <si>
    <t>Research Faculty</t>
  </si>
  <si>
    <t>Post-doctoral Fellow</t>
  </si>
  <si>
    <t>POSITION</t>
  </si>
  <si>
    <t>Position Index</t>
  </si>
  <si>
    <t>Special Faculty</t>
  </si>
  <si>
    <t>---------</t>
  </si>
  <si>
    <t>For Post-doc PD1:  C6 is (the budgeted salary+benefits+10% overhead) / cost of a PhD student in the post-doc's home department.   E6 is D6*cost of a PhD student in the post-doc's department.</t>
  </si>
  <si>
    <t>MUST ENTER HOME DEPARTMENT &amp; POSITION</t>
  </si>
  <si>
    <t>Manual Stipend</t>
  </si>
  <si>
    <t>Rev 1/29/24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</si>
</sst>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s>
  <fonts count="26" x14ac:knownFonts="1">
    <font>
      <sz val="10"/>
      <name val="Arial"/>
    </font>
    <font>
      <sz val="10"/>
      <name val="Arial"/>
      <family val="2"/>
    </font>
    <font>
      <b/>
      <sz val="10"/>
      <name val="Arial"/>
      <family val="2"/>
    </font>
    <font>
      <sz val="9"/>
      <name val="Arial"/>
      <family val="2"/>
    </font>
    <font>
      <b/>
      <sz val="10"/>
      <name val="Arial"/>
      <family val="2"/>
    </font>
    <font>
      <sz val="10"/>
      <name val="Arial"/>
      <family val="2"/>
    </font>
    <font>
      <i/>
      <sz val="10"/>
      <name val="Arial"/>
      <family val="2"/>
    </font>
    <font>
      <sz val="10"/>
      <name val="Arial"/>
      <family val="2"/>
    </font>
    <font>
      <b/>
      <sz val="10"/>
      <color indexed="9"/>
      <name val="Arial"/>
      <family val="2"/>
    </font>
    <font>
      <sz val="10"/>
      <color indexed="9"/>
      <name val="Arial"/>
      <family val="2"/>
    </font>
    <font>
      <sz val="10"/>
      <name val="Arial"/>
      <family val="2"/>
    </font>
    <font>
      <b/>
      <sz val="12"/>
      <color indexed="9"/>
      <name val="Arial"/>
      <family val="2"/>
    </font>
    <font>
      <sz val="12"/>
      <color indexed="9"/>
      <name val="Arial"/>
      <family val="2"/>
    </font>
    <font>
      <b/>
      <sz val="12"/>
      <name val="Arial"/>
      <family val="2"/>
    </font>
    <font>
      <sz val="12"/>
      <name val="Arial"/>
      <family val="2"/>
    </font>
    <font>
      <b/>
      <sz val="10"/>
      <color indexed="62"/>
      <name val="Arial"/>
      <family val="2"/>
    </font>
    <font>
      <b/>
      <sz val="9"/>
      <name val="Arial"/>
      <family val="2"/>
    </font>
    <font>
      <b/>
      <sz val="11"/>
      <name val="Arial"/>
      <family val="2"/>
    </font>
    <font>
      <sz val="11"/>
      <name val="Arial"/>
      <family val="2"/>
    </font>
    <font>
      <b/>
      <i/>
      <sz val="11"/>
      <name val="Arial"/>
      <family val="2"/>
    </font>
    <font>
      <i/>
      <sz val="11"/>
      <name val="Arial"/>
      <family val="2"/>
    </font>
    <font>
      <i/>
      <sz val="10"/>
      <color indexed="62"/>
      <name val="Arial"/>
      <family val="2"/>
    </font>
    <font>
      <i/>
      <sz val="9"/>
      <name val="Arial"/>
      <family val="2"/>
    </font>
    <font>
      <sz val="8"/>
      <color rgb="FF000000"/>
      <name val="Segoe UI"/>
      <family val="2"/>
    </font>
    <font>
      <sz val="10"/>
      <name val="Arial"/>
      <family val="2"/>
    </font>
    <font>
      <b/>
      <i/>
      <sz val="10"/>
      <name val="Arial"/>
      <family val="2"/>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62"/>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rgb="FFFFC000"/>
        <bgColor indexed="64"/>
      </patternFill>
    </fill>
  </fills>
  <borders count="23">
    <border>
      <left/>
      <right/>
      <top/>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cellStyleXfs>
  <cellXfs count="299">
    <xf numFmtId="0" fontId="0" fillId="0" borderId="0" xfId="0"/>
    <xf numFmtId="0" fontId="3" fillId="2" borderId="0" xfId="0" applyFont="1" applyFill="1"/>
    <xf numFmtId="0" fontId="3" fillId="2" borderId="0" xfId="0" applyFont="1" applyFill="1" applyAlignment="1">
      <alignment horizontal="right"/>
    </xf>
    <xf numFmtId="0" fontId="4" fillId="2" borderId="0" xfId="0" applyFont="1" applyFill="1"/>
    <xf numFmtId="0" fontId="5" fillId="2" borderId="0" xfId="0" applyFont="1" applyFill="1"/>
    <xf numFmtId="43" fontId="5" fillId="2" borderId="1" xfId="1" applyNumberFormat="1" applyFont="1" applyFill="1" applyBorder="1"/>
    <xf numFmtId="0" fontId="7" fillId="2" borderId="0" xfId="0" applyFont="1" applyFill="1"/>
    <xf numFmtId="0" fontId="6" fillId="2" borderId="0" xfId="0" applyFont="1" applyFill="1" applyAlignment="1">
      <alignment horizontal="right"/>
    </xf>
    <xf numFmtId="0" fontId="5" fillId="2" borderId="0" xfId="0" applyFont="1" applyFill="1" applyAlignment="1">
      <alignment horizontal="left"/>
    </xf>
    <xf numFmtId="0" fontId="4" fillId="2" borderId="0" xfId="0" applyFont="1" applyFill="1" applyAlignment="1">
      <alignment horizontal="right"/>
    </xf>
    <xf numFmtId="0" fontId="10" fillId="2" borderId="0" xfId="0" applyFont="1" applyFill="1"/>
    <xf numFmtId="0" fontId="4" fillId="2" borderId="0" xfId="0" applyFont="1" applyFill="1" applyAlignment="1">
      <alignment horizontal="left"/>
    </xf>
    <xf numFmtId="0" fontId="4" fillId="2" borderId="2" xfId="0" applyFont="1" applyFill="1" applyBorder="1"/>
    <xf numFmtId="0" fontId="5" fillId="2" borderId="2" xfId="0" applyFont="1" applyFill="1" applyBorder="1"/>
    <xf numFmtId="0" fontId="5" fillId="2" borderId="0" xfId="0" applyFont="1" applyFill="1" applyAlignment="1">
      <alignment horizontal="right"/>
    </xf>
    <xf numFmtId="0" fontId="7" fillId="2" borderId="0" xfId="0" applyFont="1" applyFill="1" applyAlignment="1">
      <alignment horizontal="right"/>
    </xf>
    <xf numFmtId="0" fontId="5" fillId="2" borderId="2" xfId="0" applyFont="1" applyFill="1" applyBorder="1" applyAlignment="1">
      <alignment horizontal="right"/>
    </xf>
    <xf numFmtId="43" fontId="4" fillId="2" borderId="4" xfId="1" applyNumberFormat="1" applyFont="1" applyFill="1" applyBorder="1" applyAlignment="1">
      <alignment horizontal="center"/>
    </xf>
    <xf numFmtId="43" fontId="7" fillId="2" borderId="1" xfId="1" applyNumberFormat="1" applyFont="1" applyFill="1" applyBorder="1"/>
    <xf numFmtId="43" fontId="3" fillId="2" borderId="0" xfId="1" applyNumberFormat="1" applyFont="1" applyFill="1"/>
    <xf numFmtId="43" fontId="5" fillId="2" borderId="5" xfId="1" applyNumberFormat="1" applyFont="1" applyFill="1" applyBorder="1"/>
    <xf numFmtId="0" fontId="4" fillId="4" borderId="6" xfId="0" applyFont="1" applyFill="1" applyBorder="1"/>
    <xf numFmtId="0" fontId="5" fillId="4" borderId="6" xfId="0" applyFont="1" applyFill="1" applyBorder="1"/>
    <xf numFmtId="0" fontId="5" fillId="4" borderId="6" xfId="0" applyFont="1" applyFill="1" applyBorder="1" applyAlignment="1">
      <alignment horizontal="right"/>
    </xf>
    <xf numFmtId="43" fontId="5" fillId="4" borderId="7" xfId="1" applyNumberFormat="1" applyFont="1" applyFill="1" applyBorder="1"/>
    <xf numFmtId="0" fontId="11" fillId="5" borderId="8" xfId="0" applyFont="1" applyFill="1" applyBorder="1"/>
    <xf numFmtId="0" fontId="11" fillId="5" borderId="6" xfId="0" applyFont="1" applyFill="1" applyBorder="1"/>
    <xf numFmtId="0" fontId="12" fillId="5" borderId="6" xfId="0" applyFont="1" applyFill="1" applyBorder="1"/>
    <xf numFmtId="0" fontId="12" fillId="5" borderId="6" xfId="0" applyFont="1" applyFill="1" applyBorder="1" applyAlignment="1">
      <alignment horizontal="right"/>
    </xf>
    <xf numFmtId="0" fontId="1" fillId="2" borderId="0" xfId="0" applyFont="1" applyFill="1"/>
    <xf numFmtId="0" fontId="8" fillId="4" borderId="0" xfId="0" applyFont="1" applyFill="1"/>
    <xf numFmtId="0" fontId="9" fillId="4" borderId="0" xfId="0" applyFont="1" applyFill="1"/>
    <xf numFmtId="0" fontId="9" fillId="4" borderId="0" xfId="0" applyFont="1" applyFill="1" applyAlignment="1">
      <alignment horizontal="right"/>
    </xf>
    <xf numFmtId="43" fontId="9" fillId="4" borderId="0" xfId="0" applyNumberFormat="1" applyFont="1" applyFill="1"/>
    <xf numFmtId="0" fontId="10" fillId="2" borderId="0" xfId="0" applyFont="1" applyFill="1" applyBorder="1"/>
    <xf numFmtId="0" fontId="5" fillId="2" borderId="0" xfId="0" applyFont="1" applyFill="1" applyBorder="1"/>
    <xf numFmtId="0" fontId="3" fillId="2" borderId="0" xfId="0" applyFont="1" applyFill="1" applyBorder="1"/>
    <xf numFmtId="0" fontId="3" fillId="2" borderId="9" xfId="0" applyFont="1" applyFill="1" applyBorder="1"/>
    <xf numFmtId="0" fontId="3" fillId="2" borderId="3" xfId="0" applyFont="1" applyFill="1" applyBorder="1"/>
    <xf numFmtId="0" fontId="4" fillId="2" borderId="3" xfId="0" applyFont="1" applyFill="1" applyBorder="1" applyAlignment="1">
      <alignment horizontal="right"/>
    </xf>
    <xf numFmtId="0" fontId="4" fillId="2" borderId="3" xfId="0" applyFont="1" applyFill="1" applyBorder="1"/>
    <xf numFmtId="164" fontId="10" fillId="4" borderId="3" xfId="0" applyNumberFormat="1" applyFont="1" applyFill="1" applyBorder="1"/>
    <xf numFmtId="164" fontId="10" fillId="4" borderId="3" xfId="1" applyNumberFormat="1" applyFont="1" applyFill="1" applyBorder="1"/>
    <xf numFmtId="0" fontId="8" fillId="2" borderId="0" xfId="0" applyFont="1" applyFill="1" applyBorder="1" applyAlignment="1">
      <alignment horizontal="center"/>
    </xf>
    <xf numFmtId="0" fontId="10" fillId="2" borderId="0" xfId="0" applyFont="1" applyFill="1" applyBorder="1" applyAlignment="1">
      <alignment horizontal="right"/>
    </xf>
    <xf numFmtId="0" fontId="3" fillId="2" borderId="0" xfId="0" applyFont="1" applyFill="1" applyAlignment="1">
      <alignment horizontal="left" wrapText="1"/>
    </xf>
    <xf numFmtId="43" fontId="10" fillId="2" borderId="0" xfId="1" applyNumberFormat="1" applyFont="1" applyFill="1" applyBorder="1"/>
    <xf numFmtId="43" fontId="10" fillId="2" borderId="0" xfId="0" applyNumberFormat="1" applyFont="1" applyFill="1" applyBorder="1"/>
    <xf numFmtId="43" fontId="13" fillId="2" borderId="7" xfId="1" applyNumberFormat="1" applyFont="1" applyFill="1" applyBorder="1" applyAlignment="1">
      <alignment horizontal="center" wrapText="1"/>
    </xf>
    <xf numFmtId="0" fontId="4" fillId="4" borderId="7" xfId="0" applyFont="1" applyFill="1" applyBorder="1" applyAlignment="1">
      <alignment wrapText="1"/>
    </xf>
    <xf numFmtId="165" fontId="11" fillId="5" borderId="7" xfId="1" applyNumberFormat="1" applyFont="1" applyFill="1" applyBorder="1"/>
    <xf numFmtId="0" fontId="12" fillId="6" borderId="10" xfId="0" applyFont="1" applyFill="1" applyBorder="1"/>
    <xf numFmtId="0" fontId="14" fillId="2" borderId="0" xfId="0" applyFont="1" applyFill="1"/>
    <xf numFmtId="0" fontId="16" fillId="2" borderId="0" xfId="0" applyFont="1" applyFill="1" applyAlignment="1">
      <alignment horizontal="left"/>
    </xf>
    <xf numFmtId="0" fontId="2" fillId="2" borderId="2" xfId="0" applyFont="1" applyFill="1" applyBorder="1"/>
    <xf numFmtId="0" fontId="13" fillId="4" borderId="8" xfId="0" applyFont="1" applyFill="1" applyBorder="1"/>
    <xf numFmtId="0" fontId="17" fillId="2" borderId="0" xfId="0" applyFont="1" applyFill="1" applyBorder="1"/>
    <xf numFmtId="0" fontId="17" fillId="2" borderId="0" xfId="0" applyFont="1" applyFill="1" applyBorder="1" applyAlignment="1">
      <alignment horizontal="center"/>
    </xf>
    <xf numFmtId="43" fontId="17" fillId="2" borderId="3" xfId="1" applyNumberFormat="1" applyFont="1" applyFill="1" applyBorder="1" applyAlignment="1">
      <alignment horizontal="center"/>
    </xf>
    <xf numFmtId="0" fontId="18" fillId="3" borderId="7" xfId="0" applyFont="1" applyFill="1" applyBorder="1"/>
    <xf numFmtId="0" fontId="18" fillId="2" borderId="0" xfId="0" applyFont="1" applyFill="1"/>
    <xf numFmtId="0" fontId="19" fillId="4" borderId="8" xfId="0" applyFont="1" applyFill="1" applyBorder="1" applyAlignment="1">
      <alignment horizontal="right"/>
    </xf>
    <xf numFmtId="0" fontId="18" fillId="4" borderId="6" xfId="0" applyFont="1" applyFill="1" applyBorder="1" applyAlignment="1">
      <alignment horizontal="right"/>
    </xf>
    <xf numFmtId="0" fontId="18" fillId="4" borderId="6" xfId="0" applyFont="1" applyFill="1" applyBorder="1"/>
    <xf numFmtId="164" fontId="18" fillId="4" borderId="7" xfId="1" applyNumberFormat="1" applyFont="1" applyFill="1" applyBorder="1"/>
    <xf numFmtId="0" fontId="20" fillId="2" borderId="0" xfId="0" applyFont="1" applyFill="1" applyAlignment="1">
      <alignment horizontal="right"/>
    </xf>
    <xf numFmtId="0" fontId="18" fillId="2" borderId="0" xfId="0" applyFont="1" applyFill="1" applyAlignment="1">
      <alignment horizontal="right"/>
    </xf>
    <xf numFmtId="43" fontId="18" fillId="2" borderId="1" xfId="1" applyNumberFormat="1" applyFont="1" applyFill="1" applyBorder="1"/>
    <xf numFmtId="0" fontId="17" fillId="2" borderId="0" xfId="0" applyFont="1" applyFill="1" applyBorder="1" applyAlignment="1">
      <alignment horizontal="left" wrapText="1"/>
    </xf>
    <xf numFmtId="43" fontId="17" fillId="2" borderId="4" xfId="1" applyNumberFormat="1" applyFont="1" applyFill="1" applyBorder="1" applyAlignment="1">
      <alignment horizontal="center"/>
    </xf>
    <xf numFmtId="9" fontId="20" fillId="4" borderId="7" xfId="2" applyFont="1" applyFill="1" applyBorder="1" applyAlignment="1">
      <alignment horizontal="left"/>
    </xf>
    <xf numFmtId="164" fontId="18" fillId="4" borderId="7" xfId="1" applyNumberFormat="1" applyFont="1" applyFill="1" applyBorder="1" applyAlignment="1">
      <alignment horizontal="center"/>
    </xf>
    <xf numFmtId="164" fontId="18" fillId="4" borderId="1" xfId="1" applyNumberFormat="1" applyFont="1" applyFill="1" applyBorder="1"/>
    <xf numFmtId="9" fontId="20" fillId="5" borderId="7" xfId="2" applyFont="1" applyFill="1" applyBorder="1" applyAlignment="1">
      <alignment horizontal="left"/>
    </xf>
    <xf numFmtId="164" fontId="18" fillId="5" borderId="7" xfId="1" applyNumberFormat="1" applyFont="1" applyFill="1" applyBorder="1" applyAlignment="1">
      <alignment horizontal="center"/>
    </xf>
    <xf numFmtId="0" fontId="18" fillId="4" borderId="3" xfId="0" applyFont="1" applyFill="1" applyBorder="1"/>
    <xf numFmtId="0" fontId="19" fillId="4" borderId="9" xfId="0" applyFont="1" applyFill="1" applyBorder="1" applyAlignment="1">
      <alignment horizontal="right"/>
    </xf>
    <xf numFmtId="0" fontId="18" fillId="4" borderId="3" xfId="0" applyFont="1" applyFill="1" applyBorder="1" applyAlignment="1">
      <alignment horizontal="right"/>
    </xf>
    <xf numFmtId="0" fontId="17" fillId="2" borderId="0" xfId="0" applyFont="1" applyFill="1" applyBorder="1" applyAlignment="1">
      <alignment horizontal="right"/>
    </xf>
    <xf numFmtId="0" fontId="18" fillId="2" borderId="0" xfId="0" applyFont="1" applyFill="1" applyBorder="1"/>
    <xf numFmtId="0" fontId="17" fillId="2" borderId="0" xfId="0" applyFont="1" applyFill="1" applyAlignment="1">
      <alignment horizontal="right"/>
    </xf>
    <xf numFmtId="0" fontId="17" fillId="2" borderId="0" xfId="0" applyFont="1" applyFill="1"/>
    <xf numFmtId="0" fontId="18" fillId="2" borderId="15" xfId="0" applyFont="1" applyFill="1" applyBorder="1" applyAlignment="1">
      <alignment horizontal="right"/>
    </xf>
    <xf numFmtId="0" fontId="18" fillId="2" borderId="6" xfId="0" applyFont="1" applyFill="1" applyBorder="1" applyAlignment="1">
      <alignment horizontal="right"/>
    </xf>
    <xf numFmtId="0" fontId="20" fillId="4" borderId="8" xfId="0" applyFont="1" applyFill="1" applyBorder="1" applyAlignment="1">
      <alignment horizontal="right"/>
    </xf>
    <xf numFmtId="0" fontId="17" fillId="2" borderId="0" xfId="0" applyFont="1" applyFill="1" applyAlignment="1">
      <alignment horizontal="left"/>
    </xf>
    <xf numFmtId="43" fontId="18" fillId="2" borderId="1" xfId="0" applyNumberFormat="1" applyFont="1" applyFill="1" applyBorder="1"/>
    <xf numFmtId="0" fontId="17" fillId="7" borderId="0" xfId="0" applyFont="1" applyFill="1" applyAlignment="1">
      <alignment horizontal="left" wrapText="1"/>
    </xf>
    <xf numFmtId="0" fontId="17" fillId="0" borderId="0" xfId="0" applyFont="1" applyFill="1" applyAlignment="1">
      <alignment horizontal="right"/>
    </xf>
    <xf numFmtId="0" fontId="22" fillId="0" borderId="0" xfId="0" applyFont="1" applyFill="1"/>
    <xf numFmtId="0" fontId="1" fillId="0" borderId="0" xfId="0" applyFont="1" applyFill="1"/>
    <xf numFmtId="0" fontId="5" fillId="0" borderId="0" xfId="0" applyFont="1" applyFill="1"/>
    <xf numFmtId="0" fontId="18" fillId="0" borderId="3" xfId="0" applyNumberFormat="1" applyFont="1" applyFill="1" applyBorder="1" applyAlignment="1">
      <alignment horizontal="right"/>
    </xf>
    <xf numFmtId="43" fontId="18" fillId="2" borderId="0" xfId="1" applyNumberFormat="1" applyFont="1" applyFill="1" applyBorder="1"/>
    <xf numFmtId="0" fontId="7" fillId="2" borderId="0" xfId="0" applyFont="1" applyFill="1" applyBorder="1"/>
    <xf numFmtId="43" fontId="17" fillId="2" borderId="2" xfId="1" applyNumberFormat="1" applyFont="1" applyFill="1" applyBorder="1" applyAlignment="1">
      <alignment horizontal="center"/>
    </xf>
    <xf numFmtId="0" fontId="18" fillId="7" borderId="0" xfId="0" applyFont="1" applyFill="1"/>
    <xf numFmtId="0" fontId="3" fillId="2" borderId="7" xfId="0" applyFont="1" applyFill="1" applyBorder="1"/>
    <xf numFmtId="0" fontId="16" fillId="2" borderId="8" xfId="0" applyFont="1" applyFill="1" applyBorder="1" applyAlignment="1"/>
    <xf numFmtId="0" fontId="16" fillId="2" borderId="6" xfId="0" applyFont="1" applyFill="1" applyBorder="1" applyAlignment="1"/>
    <xf numFmtId="0" fontId="4" fillId="3" borderId="7" xfId="0" applyFont="1" applyFill="1" applyBorder="1" applyAlignment="1">
      <alignment wrapText="1"/>
    </xf>
    <xf numFmtId="43" fontId="3" fillId="2" borderId="14" xfId="1" applyNumberFormat="1" applyFont="1" applyFill="1" applyBorder="1"/>
    <xf numFmtId="0" fontId="18" fillId="0" borderId="0" xfId="0" applyFont="1" applyFill="1" applyBorder="1"/>
    <xf numFmtId="0" fontId="3" fillId="2" borderId="17" xfId="0" applyFont="1" applyFill="1" applyBorder="1" applyAlignment="1">
      <alignment horizontal="left"/>
    </xf>
    <xf numFmtId="0" fontId="16" fillId="2" borderId="19" xfId="0" applyFont="1" applyFill="1" applyBorder="1" applyAlignment="1"/>
    <xf numFmtId="9" fontId="18" fillId="5" borderId="7" xfId="2" applyFont="1" applyFill="1" applyBorder="1" applyAlignment="1">
      <alignment horizontal="center"/>
    </xf>
    <xf numFmtId="9" fontId="18" fillId="4" borderId="7" xfId="2" applyFont="1" applyFill="1" applyBorder="1" applyAlignment="1">
      <alignment horizontal="center"/>
    </xf>
    <xf numFmtId="0" fontId="18" fillId="7" borderId="3" xfId="0" applyFont="1" applyFill="1" applyBorder="1"/>
    <xf numFmtId="14" fontId="18" fillId="7" borderId="0" xfId="0" applyNumberFormat="1" applyFont="1" applyFill="1" applyBorder="1"/>
    <xf numFmtId="43" fontId="4" fillId="7" borderId="0" xfId="1" applyNumberFormat="1" applyFont="1" applyFill="1" applyBorder="1"/>
    <xf numFmtId="0" fontId="1" fillId="7" borderId="0" xfId="0" applyFont="1" applyFill="1"/>
    <xf numFmtId="0" fontId="5" fillId="7" borderId="0" xfId="0" applyFont="1" applyFill="1"/>
    <xf numFmtId="0" fontId="20" fillId="7" borderId="3" xfId="0" applyFont="1" applyFill="1" applyBorder="1" applyAlignment="1">
      <alignment horizontal="center"/>
    </xf>
    <xf numFmtId="0" fontId="2" fillId="2" borderId="0" xfId="0" applyFont="1" applyFill="1" applyAlignment="1">
      <alignment horizontal="left"/>
    </xf>
    <xf numFmtId="0" fontId="0" fillId="0" borderId="0" xfId="0" applyBorder="1"/>
    <xf numFmtId="0" fontId="2" fillId="0" borderId="0" xfId="0" applyFont="1" applyBorder="1"/>
    <xf numFmtId="0" fontId="11" fillId="5" borderId="12" xfId="0" applyFont="1" applyFill="1" applyBorder="1"/>
    <xf numFmtId="0" fontId="12" fillId="5" borderId="12" xfId="0" applyFont="1" applyFill="1" applyBorder="1"/>
    <xf numFmtId="0" fontId="12" fillId="5" borderId="12" xfId="0" applyFont="1" applyFill="1" applyBorder="1" applyAlignment="1">
      <alignment horizontal="right"/>
    </xf>
    <xf numFmtId="165" fontId="11" fillId="5" borderId="12" xfId="1" applyNumberFormat="1" applyFont="1" applyFill="1" applyBorder="1"/>
    <xf numFmtId="0" fontId="11" fillId="5" borderId="8" xfId="0" applyFont="1" applyFill="1" applyBorder="1" applyAlignment="1">
      <alignment horizontal="right"/>
    </xf>
    <xf numFmtId="0" fontId="1" fillId="0" borderId="0" xfId="0" applyFont="1"/>
    <xf numFmtId="9" fontId="0" fillId="0" borderId="0" xfId="2" applyFont="1"/>
    <xf numFmtId="0" fontId="25" fillId="0" borderId="0" xfId="0" applyFont="1" applyFill="1"/>
    <xf numFmtId="0" fontId="19" fillId="0" borderId="0" xfId="0" applyFont="1" applyFill="1"/>
    <xf numFmtId="0" fontId="1" fillId="0" borderId="3" xfId="0" applyFont="1" applyBorder="1"/>
    <xf numFmtId="0" fontId="1" fillId="0" borderId="0" xfId="0" applyFont="1" applyAlignment="1">
      <alignment horizontal="center"/>
    </xf>
    <xf numFmtId="0" fontId="1" fillId="0" borderId="3" xfId="0" applyFont="1" applyBorder="1" applyAlignment="1">
      <alignment horizontal="center"/>
    </xf>
    <xf numFmtId="0" fontId="1" fillId="0" borderId="3" xfId="0" applyFont="1" applyFill="1" applyBorder="1" applyAlignment="1">
      <alignment horizontal="center" wrapText="1"/>
    </xf>
    <xf numFmtId="165" fontId="0" fillId="0" borderId="0" xfId="4" applyNumberFormat="1" applyFont="1"/>
    <xf numFmtId="165" fontId="0" fillId="0" borderId="0" xfId="0" applyNumberFormat="1"/>
    <xf numFmtId="165" fontId="18" fillId="4" borderId="1" xfId="4" applyNumberFormat="1" applyFont="1" applyFill="1" applyBorder="1"/>
    <xf numFmtId="165" fontId="18" fillId="5" borderId="1" xfId="4" applyNumberFormat="1" applyFont="1" applyFill="1" applyBorder="1"/>
    <xf numFmtId="165" fontId="18" fillId="4" borderId="5" xfId="4" applyNumberFormat="1" applyFont="1" applyFill="1" applyBorder="1"/>
    <xf numFmtId="165" fontId="18" fillId="4" borderId="7" xfId="4" applyNumberFormat="1" applyFont="1" applyFill="1" applyBorder="1"/>
    <xf numFmtId="0" fontId="2" fillId="0" borderId="0" xfId="0" applyFont="1"/>
    <xf numFmtId="0" fontId="18" fillId="3" borderId="3" xfId="0" applyFont="1" applyFill="1" applyBorder="1" applyProtection="1">
      <protection locked="0"/>
    </xf>
    <xf numFmtId="0" fontId="18" fillId="3" borderId="3" xfId="0" applyNumberFormat="1" applyFont="1" applyFill="1" applyBorder="1" applyAlignment="1" applyProtection="1">
      <alignment horizontal="center"/>
      <protection locked="0"/>
    </xf>
    <xf numFmtId="14" fontId="18" fillId="3" borderId="3" xfId="0" applyNumberFormat="1" applyFont="1" applyFill="1" applyBorder="1" applyProtection="1">
      <protection locked="0"/>
    </xf>
    <xf numFmtId="0" fontId="18" fillId="3" borderId="7" xfId="0" applyFont="1" applyFill="1" applyBorder="1" applyProtection="1">
      <protection locked="0"/>
    </xf>
    <xf numFmtId="9" fontId="18" fillId="3" borderId="7" xfId="2" applyFont="1" applyFill="1" applyBorder="1" applyAlignment="1" applyProtection="1">
      <alignment horizontal="center"/>
      <protection locked="0"/>
    </xf>
    <xf numFmtId="0" fontId="18" fillId="3" borderId="7" xfId="0" applyFont="1" applyFill="1" applyBorder="1" applyAlignment="1" applyProtection="1">
      <alignment horizontal="center"/>
      <protection locked="0"/>
    </xf>
    <xf numFmtId="165" fontId="18" fillId="3" borderId="7" xfId="4" applyNumberFormat="1" applyFont="1" applyFill="1" applyBorder="1" applyProtection="1">
      <protection locked="0"/>
    </xf>
    <xf numFmtId="9" fontId="18" fillId="3" borderId="11" xfId="2"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9" fontId="18" fillId="3" borderId="1" xfId="2" applyFont="1" applyFill="1" applyBorder="1" applyAlignment="1" applyProtection="1">
      <alignment horizontal="center"/>
      <protection locked="0"/>
    </xf>
    <xf numFmtId="0" fontId="18" fillId="3" borderId="7" xfId="0" applyFont="1" applyFill="1" applyBorder="1" applyAlignment="1" applyProtection="1">
      <alignment horizontal="left"/>
      <protection locked="0"/>
    </xf>
    <xf numFmtId="43" fontId="18" fillId="3" borderId="7" xfId="0" applyNumberFormat="1" applyFont="1" applyFill="1" applyBorder="1" applyProtection="1">
      <protection locked="0"/>
    </xf>
    <xf numFmtId="164" fontId="18" fillId="3" borderId="16" xfId="1" applyNumberFormat="1" applyFont="1" applyFill="1" applyBorder="1" applyProtection="1">
      <protection locked="0"/>
    </xf>
    <xf numFmtId="164" fontId="18" fillId="3" borderId="7" xfId="1" applyNumberFormat="1" applyFont="1" applyFill="1" applyBorder="1" applyProtection="1">
      <protection locked="0"/>
    </xf>
    <xf numFmtId="0" fontId="18" fillId="9" borderId="6" xfId="0" applyFont="1" applyFill="1" applyBorder="1" applyAlignment="1" applyProtection="1">
      <alignment horizontal="right"/>
      <protection locked="0"/>
    </xf>
    <xf numFmtId="0" fontId="18" fillId="9" borderId="6" xfId="0" applyFont="1" applyFill="1" applyBorder="1" applyProtection="1">
      <protection locked="0"/>
    </xf>
    <xf numFmtId="164" fontId="18" fillId="3" borderId="3" xfId="1" applyNumberFormat="1" applyFont="1" applyFill="1" applyBorder="1" applyAlignment="1" applyProtection="1">
      <alignment horizontal="right"/>
      <protection locked="0"/>
    </xf>
    <xf numFmtId="0" fontId="18" fillId="3" borderId="14" xfId="0" applyFont="1" applyFill="1" applyBorder="1" applyAlignment="1" applyProtection="1">
      <alignment horizontal="center"/>
      <protection locked="0"/>
    </xf>
    <xf numFmtId="164" fontId="18" fillId="3" borderId="1" xfId="1" applyNumberFormat="1" applyFont="1" applyFill="1" applyBorder="1" applyProtection="1">
      <protection locked="0"/>
    </xf>
    <xf numFmtId="0" fontId="18" fillId="3" borderId="6" xfId="0" applyFont="1" applyFill="1" applyBorder="1" applyProtection="1">
      <protection locked="0"/>
    </xf>
    <xf numFmtId="0" fontId="18" fillId="3" borderId="12" xfId="0" applyFont="1" applyFill="1" applyBorder="1" applyProtection="1">
      <protection locked="0"/>
    </xf>
    <xf numFmtId="164" fontId="18" fillId="3" borderId="0" xfId="1" applyNumberFormat="1" applyFont="1" applyFill="1" applyAlignment="1" applyProtection="1">
      <alignment horizontal="right"/>
      <protection locked="0"/>
    </xf>
    <xf numFmtId="0" fontId="18" fillId="3" borderId="0" xfId="0" applyFont="1" applyFill="1" applyAlignment="1" applyProtection="1">
      <alignment horizontal="center"/>
      <protection locked="0"/>
    </xf>
    <xf numFmtId="9" fontId="1" fillId="3" borderId="8" xfId="2" applyFont="1" applyFill="1" applyBorder="1" applyAlignment="1" applyProtection="1">
      <protection locked="0"/>
    </xf>
    <xf numFmtId="9" fontId="1" fillId="3" borderId="6" xfId="2" applyFont="1" applyFill="1" applyBorder="1" applyAlignment="1" applyProtection="1">
      <protection locked="0"/>
    </xf>
    <xf numFmtId="165" fontId="18" fillId="2" borderId="0" xfId="4" applyNumberFormat="1" applyFont="1" applyFill="1" applyProtection="1">
      <protection locked="0"/>
    </xf>
    <xf numFmtId="0" fontId="20" fillId="4" borderId="3" xfId="0" applyFont="1" applyFill="1" applyBorder="1" applyAlignment="1" applyProtection="1">
      <alignment horizontal="center"/>
      <protection locked="0"/>
    </xf>
    <xf numFmtId="0" fontId="17" fillId="2" borderId="0" xfId="0" applyFont="1" applyFill="1" applyBorder="1" applyAlignment="1"/>
    <xf numFmtId="164" fontId="18" fillId="10" borderId="7" xfId="1" applyNumberFormat="1" applyFont="1" applyFill="1" applyBorder="1" applyProtection="1"/>
    <xf numFmtId="0" fontId="11" fillId="5" borderId="8" xfId="0" applyFont="1" applyFill="1" applyBorder="1" applyProtection="1"/>
    <xf numFmtId="43" fontId="13" fillId="2" borderId="0" xfId="1" applyNumberFormat="1" applyFont="1" applyFill="1" applyBorder="1" applyAlignment="1">
      <alignment horizontal="center" wrapText="1"/>
    </xf>
    <xf numFmtId="0" fontId="17" fillId="9" borderId="3" xfId="0" applyFont="1" applyFill="1" applyBorder="1" applyProtection="1">
      <protection locked="0"/>
    </xf>
    <xf numFmtId="43" fontId="0" fillId="0" borderId="0" xfId="0" applyNumberFormat="1"/>
    <xf numFmtId="164" fontId="18" fillId="3" borderId="5" xfId="1" applyNumberFormat="1" applyFont="1" applyFill="1" applyBorder="1" applyProtection="1">
      <protection locked="0"/>
    </xf>
    <xf numFmtId="164" fontId="18" fillId="4" borderId="16" xfId="1" applyNumberFormat="1" applyFont="1" applyFill="1" applyBorder="1"/>
    <xf numFmtId="44" fontId="18" fillId="9" borderId="7" xfId="1" applyNumberFormat="1" applyFont="1" applyFill="1" applyBorder="1" applyProtection="1">
      <protection locked="0"/>
    </xf>
    <xf numFmtId="0" fontId="18" fillId="0" borderId="6" xfId="0" applyFont="1" applyFill="1" applyBorder="1" applyAlignment="1" applyProtection="1">
      <alignment horizontal="right"/>
      <protection locked="0"/>
    </xf>
    <xf numFmtId="0" fontId="18" fillId="0" borderId="6" xfId="0" applyFont="1" applyFill="1" applyBorder="1" applyProtection="1">
      <protection locked="0"/>
    </xf>
    <xf numFmtId="0" fontId="1" fillId="0" borderId="3" xfId="0" applyFont="1" applyFill="1" applyBorder="1"/>
    <xf numFmtId="0" fontId="0" fillId="0" borderId="0" xfId="0" applyProtection="1">
      <protection locked="0"/>
    </xf>
    <xf numFmtId="0" fontId="0" fillId="0" borderId="0" xfId="0" applyBorder="1" applyProtection="1">
      <protection locked="0"/>
    </xf>
    <xf numFmtId="0" fontId="1" fillId="0" borderId="0"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0" fillId="0" borderId="3" xfId="0" applyBorder="1" applyProtection="1">
      <protection locked="0"/>
    </xf>
    <xf numFmtId="0" fontId="1" fillId="0" borderId="0" xfId="0" applyFont="1" applyProtection="1">
      <protection locked="0"/>
    </xf>
    <xf numFmtId="0" fontId="2" fillId="0" borderId="0" xfId="0" applyFont="1" applyFill="1" applyBorder="1" applyProtection="1">
      <protection locked="0"/>
    </xf>
    <xf numFmtId="0" fontId="6" fillId="0" borderId="0" xfId="0" applyFont="1" applyBorder="1" applyProtection="1">
      <protection locked="0"/>
    </xf>
    <xf numFmtId="49" fontId="18" fillId="11" borderId="3" xfId="0" applyNumberFormat="1" applyFont="1" applyFill="1" applyBorder="1" applyProtection="1"/>
    <xf numFmtId="0" fontId="18" fillId="11" borderId="3" xfId="0" applyFont="1" applyFill="1" applyBorder="1" applyProtection="1"/>
    <xf numFmtId="0" fontId="0" fillId="0" borderId="0" xfId="0" applyProtection="1"/>
    <xf numFmtId="0" fontId="0" fillId="0" borderId="0" xfId="0" applyFill="1" applyProtection="1"/>
    <xf numFmtId="0" fontId="0" fillId="0" borderId="0" xfId="0" applyFill="1" applyBorder="1" applyProtection="1"/>
    <xf numFmtId="0" fontId="3" fillId="2" borderId="9" xfId="0" applyFont="1" applyFill="1" applyBorder="1" applyProtection="1"/>
    <xf numFmtId="0" fontId="3" fillId="2" borderId="3" xfId="0" applyFont="1" applyFill="1" applyBorder="1" applyProtection="1"/>
    <xf numFmtId="0" fontId="4" fillId="2" borderId="3" xfId="0" applyFont="1" applyFill="1" applyBorder="1" applyAlignment="1" applyProtection="1">
      <alignment horizontal="right"/>
    </xf>
    <xf numFmtId="43" fontId="3" fillId="2" borderId="14" xfId="1" applyNumberFormat="1" applyFont="1" applyFill="1" applyBorder="1" applyProtection="1"/>
    <xf numFmtId="0" fontId="0" fillId="0" borderId="0" xfId="0" applyBorder="1" applyProtection="1"/>
    <xf numFmtId="0" fontId="17" fillId="2" borderId="0" xfId="0" applyFont="1" applyFill="1" applyBorder="1" applyAlignment="1" applyProtection="1">
      <alignment horizontal="right"/>
    </xf>
    <xf numFmtId="0" fontId="18" fillId="0" borderId="0" xfId="0" applyFont="1" applyFill="1" applyBorder="1" applyProtection="1"/>
    <xf numFmtId="0" fontId="3" fillId="2" borderId="0" xfId="0" applyFont="1" applyFill="1" applyBorder="1" applyAlignment="1" applyProtection="1">
      <alignment horizontal="right"/>
    </xf>
    <xf numFmtId="0" fontId="17" fillId="2" borderId="0" xfId="0" applyFont="1" applyFill="1" applyBorder="1" applyProtection="1"/>
    <xf numFmtId="0" fontId="18" fillId="2" borderId="0" xfId="0" applyFont="1" applyFill="1" applyBorder="1" applyProtection="1"/>
    <xf numFmtId="0" fontId="4" fillId="0" borderId="0" xfId="0" applyFont="1" applyFill="1" applyBorder="1" applyAlignment="1" applyProtection="1">
      <alignment wrapText="1"/>
    </xf>
    <xf numFmtId="43" fontId="13" fillId="0" borderId="0" xfId="1" applyNumberFormat="1" applyFont="1" applyFill="1" applyBorder="1" applyAlignment="1" applyProtection="1">
      <alignment horizontal="center" wrapText="1"/>
    </xf>
    <xf numFmtId="0" fontId="18" fillId="11" borderId="3" xfId="0" applyNumberFormat="1" applyFont="1" applyFill="1" applyBorder="1" applyAlignment="1" applyProtection="1">
      <alignment horizontal="center"/>
    </xf>
    <xf numFmtId="0" fontId="1" fillId="2" borderId="0" xfId="0" applyFont="1" applyFill="1" applyBorder="1" applyProtection="1"/>
    <xf numFmtId="0" fontId="1" fillId="7" borderId="0" xfId="0" applyFont="1" applyFill="1" applyBorder="1" applyProtection="1"/>
    <xf numFmtId="0" fontId="1" fillId="0" borderId="0" xfId="0" applyFont="1" applyFill="1" applyBorder="1" applyAlignment="1" applyProtection="1">
      <alignment horizontal="right"/>
    </xf>
    <xf numFmtId="0" fontId="17" fillId="0" borderId="0" xfId="0" applyFont="1" applyFill="1" applyBorder="1" applyAlignment="1" applyProtection="1">
      <alignment horizontal="right"/>
    </xf>
    <xf numFmtId="0" fontId="1" fillId="0" borderId="0" xfId="0" applyFont="1" applyFill="1" applyBorder="1" applyProtection="1"/>
    <xf numFmtId="0" fontId="18" fillId="7" borderId="0" xfId="0" applyFont="1" applyFill="1" applyBorder="1" applyProtection="1"/>
    <xf numFmtId="0" fontId="0" fillId="0" borderId="0" xfId="0" applyBorder="1" applyAlignment="1" applyProtection="1">
      <alignment horizontal="right"/>
    </xf>
    <xf numFmtId="166" fontId="18" fillId="11" borderId="3" xfId="0" applyNumberFormat="1" applyFont="1" applyFill="1" applyBorder="1" applyProtection="1"/>
    <xf numFmtId="0" fontId="1" fillId="0" borderId="0" xfId="0" applyFont="1" applyBorder="1" applyProtection="1"/>
    <xf numFmtId="0" fontId="1" fillId="0" borderId="3" xfId="0" applyFont="1" applyBorder="1" applyAlignment="1">
      <alignment horizontal="center" wrapText="1"/>
    </xf>
    <xf numFmtId="0" fontId="1" fillId="0" borderId="3" xfId="0" applyFont="1" applyBorder="1" applyAlignment="1">
      <alignment wrapText="1"/>
    </xf>
    <xf numFmtId="0" fontId="1" fillId="0" borderId="0" xfId="0" applyFont="1" applyAlignment="1">
      <alignment horizontal="right"/>
    </xf>
    <xf numFmtId="10" fontId="0" fillId="0" borderId="0" xfId="2" applyNumberFormat="1" applyFont="1"/>
    <xf numFmtId="0" fontId="1" fillId="12" borderId="0" xfId="0" applyFont="1" applyFill="1"/>
    <xf numFmtId="0" fontId="0" fillId="12" borderId="0" xfId="0" applyFill="1"/>
    <xf numFmtId="165" fontId="0" fillId="12" borderId="0" xfId="4" applyNumberFormat="1" applyFont="1" applyFill="1"/>
    <xf numFmtId="165" fontId="0" fillId="12" borderId="0" xfId="0" applyNumberFormat="1" applyFill="1"/>
    <xf numFmtId="0" fontId="0" fillId="0" borderId="0" xfId="0" applyAlignment="1">
      <alignment horizontal="right"/>
    </xf>
    <xf numFmtId="10" fontId="0" fillId="0" borderId="0" xfId="0" applyNumberFormat="1"/>
    <xf numFmtId="9" fontId="0" fillId="0" borderId="0" xfId="0" applyNumberFormat="1"/>
    <xf numFmtId="9" fontId="0" fillId="0" borderId="3" xfId="2" applyFont="1" applyBorder="1"/>
    <xf numFmtId="165" fontId="0" fillId="0" borderId="3" xfId="4" applyNumberFormat="1" applyFont="1" applyBorder="1"/>
    <xf numFmtId="0" fontId="1" fillId="0" borderId="0" xfId="0" quotePrefix="1" applyFont="1" applyAlignment="1">
      <alignment horizontal="center"/>
    </xf>
    <xf numFmtId="0" fontId="16" fillId="2" borderId="3" xfId="0" applyFont="1" applyFill="1" applyBorder="1"/>
    <xf numFmtId="0" fontId="25" fillId="2" borderId="0" xfId="0" applyFont="1" applyFill="1"/>
    <xf numFmtId="43" fontId="25" fillId="2" borderId="0" xfId="1" applyNumberFormat="1" applyFont="1" applyFill="1" applyBorder="1" applyAlignment="1">
      <alignment horizontal="right"/>
    </xf>
    <xf numFmtId="0" fontId="1" fillId="0" borderId="0" xfId="0" applyFont="1" applyFill="1" applyBorder="1" applyAlignment="1">
      <alignment horizontal="center" wrapText="1"/>
    </xf>
    <xf numFmtId="0" fontId="1" fillId="0" borderId="0" xfId="3" applyFont="1" applyBorder="1" applyAlignment="1" applyProtection="1">
      <alignment horizontal="center" vertical="center" wrapText="1"/>
      <protection locked="0"/>
    </xf>
    <xf numFmtId="0" fontId="11" fillId="6" borderId="9"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14" xfId="0" applyFont="1" applyFill="1" applyBorder="1" applyAlignment="1" applyProtection="1">
      <alignment horizontal="center"/>
    </xf>
    <xf numFmtId="0" fontId="13" fillId="2" borderId="10" xfId="0" applyFont="1" applyFill="1" applyBorder="1" applyAlignment="1" applyProtection="1">
      <alignment horizontal="center" wrapText="1"/>
    </xf>
    <xf numFmtId="0" fontId="13" fillId="2" borderId="12" xfId="0" applyFont="1" applyFill="1" applyBorder="1" applyAlignment="1" applyProtection="1">
      <alignment horizontal="center" wrapText="1"/>
    </xf>
    <xf numFmtId="0" fontId="13" fillId="2" borderId="13" xfId="0" applyFont="1" applyFill="1" applyBorder="1" applyAlignment="1" applyProtection="1">
      <alignment horizontal="center" wrapText="1"/>
    </xf>
    <xf numFmtId="0" fontId="11" fillId="6" borderId="10" xfId="0" applyFont="1" applyFill="1" applyBorder="1" applyAlignment="1" applyProtection="1">
      <alignment horizontal="center"/>
    </xf>
    <xf numFmtId="0" fontId="11" fillId="6" borderId="12" xfId="0" applyFont="1" applyFill="1" applyBorder="1" applyAlignment="1" applyProtection="1">
      <alignment horizontal="center"/>
    </xf>
    <xf numFmtId="0" fontId="11" fillId="6" borderId="13"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6" xfId="0" applyFont="1" applyFill="1" applyBorder="1" applyAlignment="1" applyProtection="1">
      <alignment horizontal="center"/>
    </xf>
    <xf numFmtId="0" fontId="11" fillId="6" borderId="17" xfId="0" applyFont="1" applyFill="1" applyBorder="1" applyAlignment="1" applyProtection="1">
      <alignment horizontal="center"/>
    </xf>
    <xf numFmtId="0" fontId="18" fillId="3" borderId="12" xfId="0" applyFont="1" applyFill="1" applyBorder="1" applyAlignment="1" applyProtection="1">
      <alignment horizontal="center" wrapText="1"/>
      <protection locked="0"/>
    </xf>
    <xf numFmtId="0" fontId="18" fillId="3" borderId="13" xfId="0" applyFont="1" applyFill="1" applyBorder="1" applyAlignment="1" applyProtection="1">
      <alignment horizontal="center" wrapText="1"/>
      <protection locked="0"/>
    </xf>
    <xf numFmtId="0" fontId="18" fillId="3" borderId="8" xfId="0" applyFont="1" applyFill="1" applyBorder="1" applyAlignment="1" applyProtection="1">
      <alignment horizontal="left"/>
      <protection locked="0"/>
    </xf>
    <xf numFmtId="0" fontId="18" fillId="3" borderId="17" xfId="0" applyFont="1" applyFill="1" applyBorder="1" applyAlignment="1" applyProtection="1">
      <alignment horizontal="left"/>
      <protection locked="0"/>
    </xf>
    <xf numFmtId="0" fontId="17" fillId="2" borderId="3" xfId="0" applyFont="1" applyFill="1" applyBorder="1" applyAlignment="1">
      <alignment horizontal="center"/>
    </xf>
    <xf numFmtId="0" fontId="1" fillId="3" borderId="8" xfId="2" applyNumberFormat="1" applyFont="1" applyFill="1" applyBorder="1" applyAlignment="1" applyProtection="1">
      <alignment horizontal="left"/>
      <protection locked="0"/>
    </xf>
    <xf numFmtId="0" fontId="5" fillId="3" borderId="19" xfId="2" applyNumberFormat="1" applyFont="1" applyFill="1" applyBorder="1" applyAlignment="1" applyProtection="1">
      <alignment horizontal="left"/>
      <protection locked="0"/>
    </xf>
    <xf numFmtId="4" fontId="5" fillId="3" borderId="8" xfId="2" applyNumberFormat="1" applyFont="1" applyFill="1" applyBorder="1" applyAlignment="1" applyProtection="1">
      <alignment horizontal="center"/>
      <protection locked="0"/>
    </xf>
    <xf numFmtId="4" fontId="5" fillId="3" borderId="19" xfId="2" applyNumberFormat="1" applyFont="1" applyFill="1" applyBorder="1" applyAlignment="1" applyProtection="1">
      <alignment horizontal="center"/>
      <protection locked="0"/>
    </xf>
    <xf numFmtId="0" fontId="1" fillId="7" borderId="12" xfId="0" applyFont="1" applyFill="1" applyBorder="1" applyAlignment="1">
      <alignment horizontal="left" wrapText="1"/>
    </xf>
    <xf numFmtId="0" fontId="5" fillId="7" borderId="12" xfId="0" applyFont="1" applyFill="1" applyBorder="1" applyAlignment="1">
      <alignment horizontal="left" wrapText="1"/>
    </xf>
    <xf numFmtId="0" fontId="18" fillId="2" borderId="6" xfId="0" applyFont="1" applyFill="1" applyBorder="1" applyAlignment="1">
      <alignment horizontal="right"/>
    </xf>
    <xf numFmtId="0" fontId="18" fillId="2" borderId="17" xfId="0" applyFont="1" applyFill="1" applyBorder="1" applyAlignment="1">
      <alignment horizontal="right"/>
    </xf>
    <xf numFmtId="0" fontId="16" fillId="2" borderId="6" xfId="0" applyFont="1" applyFill="1" applyBorder="1" applyAlignment="1">
      <alignment horizontal="left"/>
    </xf>
    <xf numFmtId="0" fontId="16" fillId="2" borderId="17" xfId="0" applyFont="1" applyFill="1" applyBorder="1" applyAlignment="1">
      <alignment horizontal="left"/>
    </xf>
    <xf numFmtId="0" fontId="5" fillId="3" borderId="8" xfId="2" applyNumberFormat="1" applyFont="1" applyFill="1" applyBorder="1" applyAlignment="1" applyProtection="1">
      <alignment horizontal="left"/>
      <protection locked="0"/>
    </xf>
    <xf numFmtId="0" fontId="5" fillId="3" borderId="17" xfId="2" applyNumberFormat="1" applyFont="1" applyFill="1" applyBorder="1" applyAlignment="1" applyProtection="1">
      <alignment horizontal="left"/>
      <protection locked="0"/>
    </xf>
    <xf numFmtId="4" fontId="5" fillId="3" borderId="8" xfId="2" applyNumberFormat="1" applyFont="1" applyFill="1" applyBorder="1" applyAlignment="1" applyProtection="1">
      <alignment horizontal="left"/>
      <protection locked="0"/>
    </xf>
    <xf numFmtId="4" fontId="5" fillId="3" borderId="17" xfId="2" applyNumberFormat="1" applyFont="1" applyFill="1" applyBorder="1" applyAlignment="1" applyProtection="1">
      <alignment horizontal="left"/>
      <protection locked="0"/>
    </xf>
    <xf numFmtId="0" fontId="3" fillId="8" borderId="22" xfId="0" applyFont="1" applyFill="1" applyBorder="1" applyAlignment="1">
      <alignment horizontal="left" wrapText="1"/>
    </xf>
    <xf numFmtId="0" fontId="3" fillId="8" borderId="6" xfId="0" applyFont="1" applyFill="1" applyBorder="1" applyAlignment="1">
      <alignment horizontal="left" wrapText="1"/>
    </xf>
    <xf numFmtId="0" fontId="3" fillId="8" borderId="17" xfId="0" applyFont="1" applyFill="1" applyBorder="1" applyAlignment="1">
      <alignment horizontal="left" wrapText="1"/>
    </xf>
    <xf numFmtId="0" fontId="1" fillId="3" borderId="10" xfId="2" applyNumberFormat="1" applyFont="1" applyFill="1" applyBorder="1" applyAlignment="1" applyProtection="1">
      <alignment horizontal="left"/>
      <protection locked="0"/>
    </xf>
    <xf numFmtId="0" fontId="5" fillId="3" borderId="20" xfId="2" applyNumberFormat="1" applyFont="1" applyFill="1" applyBorder="1" applyAlignment="1" applyProtection="1">
      <alignment horizontal="left"/>
      <protection locked="0"/>
    </xf>
    <xf numFmtId="0" fontId="5" fillId="3" borderId="9" xfId="2" applyNumberFormat="1" applyFont="1" applyFill="1" applyBorder="1" applyAlignment="1" applyProtection="1">
      <alignment horizontal="left"/>
      <protection locked="0"/>
    </xf>
    <xf numFmtId="0" fontId="5" fillId="3" borderId="21" xfId="2" applyNumberFormat="1" applyFont="1" applyFill="1" applyBorder="1" applyAlignment="1" applyProtection="1">
      <alignment horizontal="left"/>
      <protection locked="0"/>
    </xf>
    <xf numFmtId="0" fontId="11" fillId="6" borderId="12" xfId="0" applyFont="1" applyFill="1" applyBorder="1" applyAlignment="1">
      <alignment horizontal="center"/>
    </xf>
    <xf numFmtId="0" fontId="11" fillId="6" borderId="13" xfId="0" applyFont="1" applyFill="1" applyBorder="1" applyAlignment="1">
      <alignment horizontal="center"/>
    </xf>
    <xf numFmtId="0" fontId="2" fillId="2" borderId="2" xfId="0" applyFont="1" applyFill="1" applyBorder="1"/>
    <xf numFmtId="0" fontId="4" fillId="2" borderId="2" xfId="0" applyFont="1" applyFill="1" applyBorder="1"/>
    <xf numFmtId="9" fontId="1" fillId="3" borderId="8" xfId="2" applyFont="1" applyFill="1" applyBorder="1" applyAlignment="1" applyProtection="1">
      <alignment horizontal="left"/>
      <protection locked="0"/>
    </xf>
    <xf numFmtId="9" fontId="1" fillId="3" borderId="19" xfId="2" applyFont="1" applyFill="1" applyBorder="1" applyAlignment="1" applyProtection="1">
      <alignment horizontal="left"/>
      <protection locked="0"/>
    </xf>
    <xf numFmtId="0" fontId="11" fillId="6" borderId="9" xfId="0" applyFont="1" applyFill="1" applyBorder="1" applyAlignment="1">
      <alignment horizontal="center"/>
    </xf>
    <xf numFmtId="0" fontId="11" fillId="6" borderId="3" xfId="0" applyFont="1" applyFill="1" applyBorder="1" applyAlignment="1">
      <alignment horizontal="center"/>
    </xf>
    <xf numFmtId="0" fontId="11" fillId="6" borderId="14" xfId="0" applyFont="1" applyFill="1" applyBorder="1" applyAlignment="1">
      <alignment horizontal="center"/>
    </xf>
    <xf numFmtId="0" fontId="19" fillId="4" borderId="8" xfId="0" applyFont="1" applyFill="1" applyBorder="1" applyAlignment="1">
      <alignment horizontal="center"/>
    </xf>
    <xf numFmtId="0" fontId="19" fillId="4" borderId="6" xfId="0" applyFont="1" applyFill="1" applyBorder="1" applyAlignment="1">
      <alignment horizontal="center"/>
    </xf>
    <xf numFmtId="0" fontId="21" fillId="9" borderId="15" xfId="0" applyFont="1" applyFill="1" applyBorder="1" applyAlignment="1" applyProtection="1">
      <alignment horizontal="left" wrapText="1"/>
      <protection locked="0"/>
    </xf>
    <xf numFmtId="0" fontId="21" fillId="9" borderId="18" xfId="0" applyFont="1" applyFill="1" applyBorder="1" applyAlignment="1" applyProtection="1">
      <alignment horizontal="left" wrapText="1"/>
      <protection locked="0"/>
    </xf>
    <xf numFmtId="0" fontId="18" fillId="7" borderId="9" xfId="0" applyFont="1" applyFill="1" applyBorder="1"/>
    <xf numFmtId="0" fontId="18" fillId="7" borderId="3" xfId="0" applyFont="1" applyFill="1" applyBorder="1"/>
    <xf numFmtId="0" fontId="18" fillId="7" borderId="14" xfId="0" applyFont="1" applyFill="1" applyBorder="1"/>
    <xf numFmtId="0" fontId="18" fillId="7" borderId="10" xfId="0" applyFont="1" applyFill="1" applyBorder="1"/>
    <xf numFmtId="0" fontId="18" fillId="7" borderId="12" xfId="0" applyFont="1" applyFill="1" applyBorder="1"/>
    <xf numFmtId="0" fontId="18" fillId="7" borderId="13" xfId="0" applyFont="1" applyFill="1" applyBorder="1"/>
    <xf numFmtId="0" fontId="11" fillId="5" borderId="0" xfId="0" applyFont="1" applyFill="1" applyBorder="1" applyAlignment="1">
      <alignment horizontal="center"/>
    </xf>
    <xf numFmtId="0" fontId="16" fillId="2" borderId="8" xfId="0" applyFont="1" applyFill="1" applyBorder="1" applyAlignment="1">
      <alignment horizontal="left"/>
    </xf>
    <xf numFmtId="0" fontId="3" fillId="8" borderId="8" xfId="0" applyFont="1" applyFill="1" applyBorder="1" applyAlignment="1">
      <alignment horizontal="left" wrapText="1"/>
    </xf>
    <xf numFmtId="0" fontId="3" fillId="8" borderId="19" xfId="0" applyFont="1" applyFill="1" applyBorder="1" applyAlignment="1">
      <alignment horizontal="left" wrapText="1"/>
    </xf>
    <xf numFmtId="0" fontId="13" fillId="2" borderId="10" xfId="0" applyFont="1" applyFill="1" applyBorder="1" applyAlignment="1">
      <alignment horizontal="center" wrapText="1"/>
    </xf>
    <xf numFmtId="0" fontId="13" fillId="2" borderId="12" xfId="0" applyFont="1" applyFill="1" applyBorder="1" applyAlignment="1">
      <alignment horizontal="center" wrapText="1"/>
    </xf>
    <xf numFmtId="0" fontId="13" fillId="2" borderId="13" xfId="0" applyFont="1" applyFill="1" applyBorder="1" applyAlignment="1">
      <alignment horizontal="center" wrapText="1"/>
    </xf>
    <xf numFmtId="9" fontId="5" fillId="3" borderId="17" xfId="2" applyFont="1" applyFill="1" applyBorder="1" applyAlignment="1" applyProtection="1">
      <alignment horizontal="left"/>
      <protection locked="0"/>
    </xf>
    <xf numFmtId="4" fontId="5" fillId="3" borderId="19" xfId="2" applyNumberFormat="1" applyFont="1" applyFill="1" applyBorder="1" applyAlignment="1" applyProtection="1">
      <alignment horizontal="left"/>
      <protection locked="0"/>
    </xf>
    <xf numFmtId="0" fontId="5" fillId="3" borderId="10" xfId="2" applyNumberFormat="1" applyFont="1" applyFill="1" applyBorder="1" applyAlignment="1" applyProtection="1">
      <alignment horizontal="left"/>
      <protection locked="0"/>
    </xf>
    <xf numFmtId="0" fontId="2" fillId="3" borderId="8" xfId="2" applyNumberFormat="1" applyFont="1" applyFill="1" applyBorder="1" applyAlignment="1" applyProtection="1">
      <alignment horizontal="left"/>
      <protection locked="0"/>
    </xf>
    <xf numFmtId="0" fontId="2" fillId="3" borderId="19" xfId="2" applyNumberFormat="1" applyFont="1" applyFill="1" applyBorder="1" applyAlignment="1" applyProtection="1">
      <alignment horizontal="left"/>
      <protection locked="0"/>
    </xf>
  </cellXfs>
  <cellStyles count="5">
    <cellStyle name="Comma" xfId="4" builtinId="3"/>
    <cellStyle name="Currency" xfId="1" builtinId="4"/>
    <cellStyle name="Normal" xfId="0" builtinId="0"/>
    <cellStyle name="Normal 2" xfId="3"/>
    <cellStyle name="Percent" xfId="2" builtinId="5"/>
  </cellStyles>
  <dxfs count="17">
    <dxf>
      <fill>
        <patternFill>
          <bgColor rgb="FFFFFF00"/>
        </patternFill>
      </fill>
    </dxf>
    <dxf>
      <font>
        <color theme="1"/>
      </font>
      <fill>
        <patternFill>
          <bgColor rgb="FFCCFFFF"/>
        </patternFill>
      </fill>
    </dxf>
    <dxf>
      <font>
        <color auto="1"/>
      </font>
    </dxf>
    <dxf>
      <font>
        <color theme="1"/>
      </font>
      <fill>
        <patternFill>
          <bgColor rgb="FFCCFFFF"/>
        </patternFill>
      </fill>
    </dxf>
    <dxf>
      <font>
        <color theme="1"/>
      </font>
      <fill>
        <patternFill>
          <bgColor rgb="FFFFFF00"/>
        </patternFill>
      </fill>
    </dxf>
    <dxf>
      <font>
        <color theme="1"/>
      </font>
      <fill>
        <patternFill>
          <bgColor rgb="FFFFFF00"/>
        </patternFill>
      </fill>
    </dxf>
    <dxf>
      <font>
        <color theme="0"/>
      </font>
    </dxf>
    <dxf>
      <font>
        <color theme="0"/>
      </font>
    </dxf>
    <dxf>
      <font>
        <color theme="0"/>
      </font>
      <fill>
        <patternFill patternType="none">
          <bgColor auto="1"/>
        </patternFill>
      </fill>
    </dxf>
    <dxf>
      <font>
        <color theme="1"/>
      </font>
      <fill>
        <patternFill>
          <bgColor rgb="FFFFFF00"/>
        </patternFill>
      </fill>
    </dxf>
    <dxf>
      <font>
        <color theme="0"/>
      </font>
    </dxf>
    <dxf>
      <font>
        <color auto="1"/>
      </font>
      <fill>
        <patternFill>
          <bgColor rgb="FFCCFFFF"/>
        </patternFill>
      </fill>
    </dxf>
    <dxf>
      <font>
        <color auto="1"/>
      </font>
      <fill>
        <patternFill>
          <bgColor rgb="FFCCFFFF"/>
        </patternFill>
      </fill>
    </dxf>
    <dxf>
      <font>
        <color theme="0"/>
      </font>
    </dxf>
    <dxf>
      <font>
        <color auto="1"/>
      </font>
    </dxf>
    <dxf>
      <fill>
        <patternFill>
          <bgColor rgb="FFFFFF00"/>
        </patternFill>
      </fill>
    </dxf>
    <dxf>
      <font>
        <color theme="1"/>
      </font>
      <fill>
        <patternFill>
          <bgColor rgb="FFFFFF00"/>
        </patternFill>
      </fill>
    </dxf>
  </dxfs>
  <tableStyles count="0" defaultTableStyle="TableStyleMedium9" defaultPivotStyle="PivotStyleLight16"/>
  <colors>
    <mruColors>
      <color rgb="FFCCFFFF"/>
      <color rgb="FF00FFFF"/>
      <color rgb="FFBBF0F3"/>
      <color rgb="FFACEDF0"/>
      <color rgb="FFB7D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4" dropStyle="combo" dx="16" fmlaLink="'Rates and Calcs'!$G$7" fmlaRange="'Rates and Calcs'!$B$44:$B$47" noThreeD="1" sel="1" val="0"/>
</file>

<file path=xl/ctrlProps/ctrlProp11.xml><?xml version="1.0" encoding="utf-8"?>
<formControlPr xmlns="http://schemas.microsoft.com/office/spreadsheetml/2009/9/main" objectType="Drop" dropLines="4" dropStyle="combo" dx="16" fmlaLink="'Rates and Calcs'!$G$8" fmlaRange="'Rates and Calcs'!$B$44:$B$47" noThreeD="1" sel="1"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2" dropStyle="combo" dx="16" fmlaLink="'Rates and Calcs'!$B$9" fmlaRange="'Rates and Calcs'!$B$16:$B$28" noThreeD="1" sel="1" val="0"/>
</file>

<file path=xl/ctrlProps/ctrlProp5.xml><?xml version="1.0" encoding="utf-8"?>
<formControlPr xmlns="http://schemas.microsoft.com/office/spreadsheetml/2009/9/main" objectType="Drop" dropLines="12" dropStyle="combo" dx="16" fmlaLink="'Rates and Calcs'!$B$10" fmlaRange="'Rates and Calcs'!$B$16:$B$28" noThreeD="1" sel="1" val="0"/>
</file>

<file path=xl/ctrlProps/ctrlProp6.xml><?xml version="1.0" encoding="utf-8"?>
<formControlPr xmlns="http://schemas.microsoft.com/office/spreadsheetml/2009/9/main" objectType="Drop" dropLines="12" dropStyle="combo" dx="16" fmlaLink="'Rates and Calcs'!$B$6" fmlaRange="'Rates and Calcs'!$B$16:$B$28" noThreeD="1" sel="1" val="0"/>
</file>

<file path=xl/ctrlProps/ctrlProp7.xml><?xml version="1.0" encoding="utf-8"?>
<formControlPr xmlns="http://schemas.microsoft.com/office/spreadsheetml/2009/9/main" objectType="Drop" dropLines="12" dropStyle="combo" dx="16" fmlaLink="'Rates and Calcs'!$B$7" fmlaRange="'Rates and Calcs'!$B$16:$B$28" noThreeD="1" sel="1" val="0"/>
</file>

<file path=xl/ctrlProps/ctrlProp8.xml><?xml version="1.0" encoding="utf-8"?>
<formControlPr xmlns="http://schemas.microsoft.com/office/spreadsheetml/2009/9/main" objectType="Drop" dropLines="12" dropStyle="combo" dx="16" fmlaLink="'Rates and Calcs'!$B$8" fmlaRange="'Rates and Calcs'!$B$16:$B$28" noThreeD="1" sel="1" val="0"/>
</file>

<file path=xl/ctrlProps/ctrlProp9.xml><?xml version="1.0" encoding="utf-8"?>
<formControlPr xmlns="http://schemas.microsoft.com/office/spreadsheetml/2009/9/main" objectType="Drop" dropLines="4" dropStyle="combo" dx="16" fmlaLink="'Rates and Calcs'!$G$6" fmlaRange="'Rates and Calcs'!$B$44:$B$4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1066800</xdr:colOff>
          <xdr:row>16</xdr:row>
          <xdr:rowOff>152400</xdr:rowOff>
        </xdr:from>
        <xdr:to>
          <xdr:col>0</xdr:col>
          <xdr:colOff>1371600</xdr:colOff>
          <xdr:row>18</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1066800</xdr:colOff>
          <xdr:row>17</xdr:row>
          <xdr:rowOff>152400</xdr:rowOff>
        </xdr:from>
        <xdr:to>
          <xdr:col>0</xdr:col>
          <xdr:colOff>1371600</xdr:colOff>
          <xdr:row>19</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1025071</xdr:colOff>
      <xdr:row>83</xdr:row>
      <xdr:rowOff>0</xdr:rowOff>
    </xdr:from>
    <xdr:to>
      <xdr:col>6</xdr:col>
      <xdr:colOff>206685</xdr:colOff>
      <xdr:row>90</xdr:row>
      <xdr:rowOff>61684</xdr:rowOff>
    </xdr:to>
    <xdr:sp macro="" textlink="">
      <xdr:nvSpPr>
        <xdr:cNvPr id="1123" name="Text Box 99"/>
        <xdr:cNvSpPr txBox="1">
          <a:spLocks noChangeArrowheads="1"/>
        </xdr:cNvSpPr>
      </xdr:nvSpPr>
      <xdr:spPr bwMode="auto">
        <a:xfrm>
          <a:off x="1188357" y="16972643"/>
          <a:ext cx="9933213" cy="478971"/>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t>
          </a:r>
          <a:r>
            <a:rPr lang="en-US" sz="1100" b="1" i="0" u="none" strike="noStrike" baseline="0">
              <a:solidFill>
                <a:srgbClr val="000000"/>
              </a:solidFill>
              <a:latin typeface="Arial"/>
              <a:cs typeface="Arial"/>
            </a:rPr>
            <a:t>Please note that all sources of leverage (cost-sharing, matching, etc.) SHOULD NOT be included in the above budget, but listed below</a:t>
          </a:r>
          <a:r>
            <a:rPr lang="en-US" sz="1000" b="1" i="0" u="none" strike="noStrike" baseline="0">
              <a:solidFill>
                <a:srgbClr val="000000"/>
              </a:solidFill>
              <a:latin typeface="Arial"/>
              <a:cs typeface="Arial"/>
            </a:rPr>
            <a:t>.</a:t>
          </a:r>
        </a:p>
      </xdr:txBody>
    </xdr:sp>
    <xdr:clientData/>
  </xdr:twoCellAnchor>
  <xdr:twoCellAnchor editAs="oneCell">
    <xdr:from>
      <xdr:col>1</xdr:col>
      <xdr:colOff>1288142</xdr:colOff>
      <xdr:row>121</xdr:row>
      <xdr:rowOff>18656</xdr:rowOff>
    </xdr:from>
    <xdr:to>
      <xdr:col>5</xdr:col>
      <xdr:colOff>868368</xdr:colOff>
      <xdr:row>122</xdr:row>
      <xdr:rowOff>117929</xdr:rowOff>
    </xdr:to>
    <xdr:sp macro="" textlink="">
      <xdr:nvSpPr>
        <xdr:cNvPr id="1134" name="Text Box 110"/>
        <xdr:cNvSpPr txBox="1">
          <a:spLocks noChangeArrowheads="1"/>
        </xdr:cNvSpPr>
      </xdr:nvSpPr>
      <xdr:spPr bwMode="auto">
        <a:xfrm>
          <a:off x="1451428" y="25618227"/>
          <a:ext cx="8899072" cy="24441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Please contact Dave DeLo for Budget Questions at 412-268-8479 or send email to dd03@andrew.cmu.edu</a:t>
          </a:r>
        </a:p>
      </xdr:txBody>
    </xdr:sp>
    <xdr:clientData/>
  </xdr:twoCellAnchor>
  <mc:AlternateContent xmlns:mc="http://schemas.openxmlformats.org/markup-compatibility/2006">
    <mc:Choice xmlns:a14="http://schemas.microsoft.com/office/drawing/2010/main" Requires="a14">
      <xdr:twoCellAnchor editAs="oneCell">
        <xdr:from>
          <xdr:col>5</xdr:col>
          <xdr:colOff>238125</xdr:colOff>
          <xdr:row>64</xdr:row>
          <xdr:rowOff>104775</xdr:rowOff>
        </xdr:from>
        <xdr:to>
          <xdr:col>5</xdr:col>
          <xdr:colOff>1181100</xdr:colOff>
          <xdr:row>66</xdr:row>
          <xdr:rowOff>95250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9525</xdr:colOff>
          <xdr:row>30</xdr:row>
          <xdr:rowOff>0</xdr:rowOff>
        </xdr:to>
        <xdr:sp macro="" textlink="">
          <xdr:nvSpPr>
            <xdr:cNvPr id="1487" name="Drop Down 463" hidden="1">
              <a:extLst>
                <a:ext uri="{63B3BB69-23CF-44E3-9099-C40C66FF867C}">
                  <a14:compatExt spid="_x0000_s14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180975</xdr:rowOff>
        </xdr:from>
        <xdr:to>
          <xdr:col>3</xdr:col>
          <xdr:colOff>0</xdr:colOff>
          <xdr:row>34</xdr:row>
          <xdr:rowOff>0</xdr:rowOff>
        </xdr:to>
        <xdr:sp macro="" textlink="">
          <xdr:nvSpPr>
            <xdr:cNvPr id="1488" name="Drop Down 464" hidden="1">
              <a:extLst>
                <a:ext uri="{63B3BB69-23CF-44E3-9099-C40C66FF867C}">
                  <a14:compatExt spid="_x0000_s14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489" name="Drop Down 465" hidden="1">
              <a:extLst>
                <a:ext uri="{63B3BB69-23CF-44E3-9099-C40C66FF867C}">
                  <a14:compatExt spid="_x0000_s14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0</xdr:rowOff>
        </xdr:to>
        <xdr:sp macro="" textlink="">
          <xdr:nvSpPr>
            <xdr:cNvPr id="1490" name="Drop Down 466" hidden="1">
              <a:extLst>
                <a:ext uri="{63B3BB69-23CF-44E3-9099-C40C66FF867C}">
                  <a14:compatExt spid="_x0000_s1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491" name="Drop Down 467" hidden="1">
              <a:extLst>
                <a:ext uri="{63B3BB69-23CF-44E3-9099-C40C66FF867C}">
                  <a14:compatExt spid="_x0000_s1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2019300</xdr:colOff>
          <xdr:row>20</xdr:row>
          <xdr:rowOff>0</xdr:rowOff>
        </xdr:from>
        <xdr:to>
          <xdr:col>5</xdr:col>
          <xdr:colOff>0</xdr:colOff>
          <xdr:row>21</xdr:row>
          <xdr:rowOff>0</xdr:rowOff>
        </xdr:to>
        <xdr:sp macro="" textlink="">
          <xdr:nvSpPr>
            <xdr:cNvPr id="1492" name="Drop Down 468" hidden="1">
              <a:extLst>
                <a:ext uri="{63B3BB69-23CF-44E3-9099-C40C66FF867C}">
                  <a14:compatExt spid="_x0000_s1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22</xdr:row>
          <xdr:rowOff>0</xdr:rowOff>
        </xdr:to>
        <xdr:sp macro="" textlink="">
          <xdr:nvSpPr>
            <xdr:cNvPr id="1493" name="Drop Down 469" hidden="1">
              <a:extLst>
                <a:ext uri="{63B3BB69-23CF-44E3-9099-C40C66FF867C}">
                  <a14:compatExt spid="_x0000_s1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180975</xdr:rowOff>
        </xdr:from>
        <xdr:to>
          <xdr:col>5</xdr:col>
          <xdr:colOff>0</xdr:colOff>
          <xdr:row>23</xdr:row>
          <xdr:rowOff>0</xdr:rowOff>
        </xdr:to>
        <xdr:sp macro="" textlink="">
          <xdr:nvSpPr>
            <xdr:cNvPr id="1494" name="Drop Down 470" hidden="1">
              <a:extLst>
                <a:ext uri="{63B3BB69-23CF-44E3-9099-C40C66FF867C}">
                  <a14:compatExt spid="_x0000_s14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49"/>
  <sheetViews>
    <sheetView workbookViewId="0">
      <selection activeCell="B23" sqref="B23"/>
    </sheetView>
  </sheetViews>
  <sheetFormatPr defaultColWidth="18.85546875" defaultRowHeight="13.5" customHeight="1" x14ac:dyDescent="0.2"/>
  <cols>
    <col min="1" max="1" width="39.140625" customWidth="1"/>
    <col min="2" max="2" width="24.85546875" customWidth="1"/>
    <col min="4" max="4" width="25.42578125" customWidth="1"/>
    <col min="6" max="6" width="18.85546875" customWidth="1"/>
  </cols>
  <sheetData>
    <row r="1" spans="1:8" s="186" customFormat="1" ht="13.5" customHeight="1" x14ac:dyDescent="0.25">
      <c r="A1" s="239" t="s">
        <v>73</v>
      </c>
      <c r="B1" s="240"/>
      <c r="C1" s="240"/>
      <c r="D1" s="240"/>
      <c r="E1" s="240"/>
      <c r="F1" s="241"/>
    </row>
    <row r="2" spans="1:8" s="186" customFormat="1" ht="13.5" customHeight="1" x14ac:dyDescent="0.25">
      <c r="A2" s="236" t="s">
        <v>74</v>
      </c>
      <c r="B2" s="237"/>
      <c r="C2" s="237"/>
      <c r="D2" s="237"/>
      <c r="E2" s="237"/>
      <c r="F2" s="238"/>
      <c r="G2" s="187"/>
    </row>
    <row r="3" spans="1:8" s="186" customFormat="1" ht="13.5" customHeight="1" x14ac:dyDescent="0.25">
      <c r="A3" s="230" t="s">
        <v>147</v>
      </c>
      <c r="B3" s="231"/>
      <c r="C3" s="231"/>
      <c r="D3" s="231"/>
      <c r="E3" s="231"/>
      <c r="F3" s="232"/>
      <c r="G3" s="188"/>
    </row>
    <row r="4" spans="1:8" s="186" customFormat="1" ht="13.5" customHeight="1" x14ac:dyDescent="0.25">
      <c r="A4" s="233"/>
      <c r="B4" s="234"/>
      <c r="C4" s="234"/>
      <c r="D4" s="234"/>
      <c r="E4" s="234"/>
      <c r="F4" s="235"/>
      <c r="G4" s="188"/>
    </row>
    <row r="5" spans="1:8" s="186" customFormat="1" ht="13.5" customHeight="1" x14ac:dyDescent="0.2">
      <c r="A5" s="189"/>
      <c r="B5" s="190"/>
      <c r="C5" s="191"/>
      <c r="D5" s="190"/>
      <c r="E5" s="190"/>
      <c r="F5" s="192"/>
      <c r="G5" s="188"/>
      <c r="H5" s="193"/>
    </row>
    <row r="6" spans="1:8" s="186" customFormat="1" ht="21.75" customHeight="1" x14ac:dyDescent="0.25">
      <c r="A6" s="194" t="s">
        <v>25</v>
      </c>
      <c r="B6" s="184" t="str">
        <f>Budget!C6</f>
        <v>&lt;INSERT TITLE&gt;</v>
      </c>
      <c r="C6" s="185"/>
      <c r="D6" s="185"/>
      <c r="E6" s="185"/>
      <c r="F6" s="195"/>
      <c r="G6" s="187"/>
    </row>
    <row r="7" spans="1:8" s="186" customFormat="1" ht="18" customHeight="1" x14ac:dyDescent="0.25">
      <c r="A7" s="196"/>
      <c r="B7" s="194"/>
      <c r="C7" s="197"/>
      <c r="D7" s="198"/>
      <c r="E7" s="199"/>
      <c r="F7" s="200"/>
    </row>
    <row r="8" spans="1:8" s="186" customFormat="1" ht="13.5" customHeight="1" x14ac:dyDescent="0.25">
      <c r="A8" s="194" t="s">
        <v>22</v>
      </c>
      <c r="B8" s="185" t="str">
        <f>Budget!C13</f>
        <v>&lt;INSERT PI NAME&gt;</v>
      </c>
      <c r="C8" s="185"/>
      <c r="D8" s="194" t="s">
        <v>62</v>
      </c>
      <c r="E8" s="201" t="str">
        <f>Budget!F13</f>
        <v>&lt;INSERT EXT&gt;</v>
      </c>
      <c r="F8" s="202"/>
    </row>
    <row r="9" spans="1:8" s="186" customFormat="1" ht="13.5" customHeight="1" x14ac:dyDescent="0.25">
      <c r="A9" s="194" t="s">
        <v>40</v>
      </c>
      <c r="B9" s="185" t="str">
        <f>Budget!C14</f>
        <v>&lt;INSERT CoPI NAME&gt;</v>
      </c>
      <c r="C9" s="185"/>
      <c r="D9" s="194" t="s">
        <v>63</v>
      </c>
      <c r="E9" s="201" t="str">
        <f>Budget!F14</f>
        <v>&lt;INSERT EXT&gt;</v>
      </c>
      <c r="F9" s="203"/>
    </row>
    <row r="10" spans="1:8" s="186" customFormat="1" ht="13.5" customHeight="1" x14ac:dyDescent="0.25">
      <c r="A10" s="204"/>
      <c r="B10" s="205"/>
      <c r="C10" s="193"/>
      <c r="D10" s="206"/>
      <c r="E10" s="207"/>
      <c r="F10" s="203"/>
    </row>
    <row r="11" spans="1:8" s="186" customFormat="1" ht="13.5" customHeight="1" x14ac:dyDescent="0.2">
      <c r="A11" s="208"/>
      <c r="B11" s="193"/>
      <c r="C11" s="193"/>
      <c r="D11" s="193"/>
      <c r="E11" s="193"/>
      <c r="F11" s="193"/>
    </row>
    <row r="12" spans="1:8" s="186" customFormat="1" ht="13.5" customHeight="1" x14ac:dyDescent="0.25">
      <c r="A12" s="193"/>
      <c r="B12" s="194" t="s">
        <v>61</v>
      </c>
      <c r="C12" s="209">
        <f>Budget!D88</f>
        <v>0</v>
      </c>
      <c r="D12" s="193"/>
      <c r="E12" s="193"/>
      <c r="F12" s="193"/>
    </row>
    <row r="13" spans="1:8" s="186" customFormat="1" ht="13.5" customHeight="1" x14ac:dyDescent="0.25">
      <c r="A13" s="193"/>
      <c r="B13" s="194"/>
      <c r="C13" s="193"/>
      <c r="D13" s="193"/>
      <c r="E13" s="193"/>
      <c r="F13" s="193"/>
    </row>
    <row r="14" spans="1:8" s="186" customFormat="1" ht="13.5" customHeight="1" x14ac:dyDescent="0.25">
      <c r="A14" s="193"/>
      <c r="B14" s="194" t="s">
        <v>86</v>
      </c>
      <c r="C14" s="209">
        <f>Budget!D89</f>
        <v>0</v>
      </c>
      <c r="D14" s="193"/>
      <c r="E14" s="193"/>
      <c r="F14" s="193"/>
    </row>
    <row r="15" spans="1:8" s="186" customFormat="1" ht="13.5" customHeight="1" x14ac:dyDescent="0.25">
      <c r="A15" s="193"/>
      <c r="B15" s="194" t="s">
        <v>82</v>
      </c>
      <c r="C15" s="209">
        <f>Budget!G80</f>
        <v>0</v>
      </c>
      <c r="D15" s="210"/>
      <c r="E15" s="193"/>
      <c r="F15" s="193"/>
    </row>
    <row r="16" spans="1:8" s="186" customFormat="1" ht="13.5" customHeight="1" x14ac:dyDescent="0.25">
      <c r="A16" s="193"/>
      <c r="B16" s="194" t="s">
        <v>72</v>
      </c>
      <c r="C16" s="209">
        <f>SUM(C14:C15)</f>
        <v>0</v>
      </c>
      <c r="D16" s="193"/>
      <c r="E16" s="193"/>
    </row>
    <row r="17" spans="1:6" s="186" customFormat="1" ht="13.5" customHeight="1" x14ac:dyDescent="0.2">
      <c r="A17" s="193"/>
      <c r="B17" s="193"/>
      <c r="C17" s="193"/>
      <c r="D17" s="193"/>
      <c r="E17" s="193"/>
      <c r="F17" s="193"/>
    </row>
    <row r="18" spans="1:6" ht="13.5" customHeight="1" x14ac:dyDescent="0.2">
      <c r="A18" s="115"/>
      <c r="B18" s="210" t="s">
        <v>87</v>
      </c>
      <c r="C18" s="186"/>
      <c r="D18" s="193"/>
      <c r="E18" s="193"/>
      <c r="F18" s="193"/>
    </row>
    <row r="19" spans="1:6" ht="13.5" customHeight="1" x14ac:dyDescent="0.2">
      <c r="A19" s="115"/>
      <c r="B19" s="210" t="s">
        <v>66</v>
      </c>
      <c r="C19" s="186"/>
      <c r="D19" s="193"/>
      <c r="E19" s="193"/>
      <c r="F19" s="193"/>
    </row>
    <row r="20" spans="1:6" ht="13.5" customHeight="1" x14ac:dyDescent="0.2">
      <c r="A20" s="176"/>
      <c r="B20" s="114"/>
      <c r="C20" s="114"/>
      <c r="D20" s="114"/>
      <c r="E20" s="114"/>
      <c r="F20" s="114"/>
    </row>
    <row r="21" spans="1:6" ht="13.5" customHeight="1" x14ac:dyDescent="0.2">
      <c r="A21" s="176"/>
      <c r="B21" s="177"/>
      <c r="C21" s="176"/>
      <c r="D21" s="176"/>
      <c r="E21" s="176"/>
      <c r="F21" s="176"/>
    </row>
    <row r="22" spans="1:6" ht="13.5" customHeight="1" x14ac:dyDescent="0.2">
      <c r="A22" s="176"/>
      <c r="B22" s="176"/>
      <c r="C22" s="176"/>
      <c r="D22" s="176"/>
      <c r="E22" s="176"/>
      <c r="F22" s="176"/>
    </row>
    <row r="23" spans="1:6" ht="13.5" customHeight="1" x14ac:dyDescent="0.2">
      <c r="A23" s="176"/>
      <c r="B23" s="176"/>
      <c r="C23" s="176"/>
      <c r="D23" s="176"/>
      <c r="E23" s="176"/>
      <c r="F23" s="176"/>
    </row>
    <row r="24" spans="1:6" ht="13.5" customHeight="1" x14ac:dyDescent="0.2">
      <c r="A24" s="179" t="s">
        <v>76</v>
      </c>
      <c r="B24" s="180"/>
      <c r="C24" s="180"/>
      <c r="D24" s="180"/>
      <c r="E24" s="175"/>
      <c r="F24" s="175"/>
    </row>
    <row r="25" spans="1:6" ht="13.5" customHeight="1" x14ac:dyDescent="0.2">
      <c r="A25" s="178"/>
      <c r="B25" s="176"/>
      <c r="C25" s="176"/>
      <c r="D25" s="176"/>
      <c r="E25" s="175"/>
      <c r="F25" s="175"/>
    </row>
    <row r="26" spans="1:6" ht="13.5" customHeight="1" x14ac:dyDescent="0.2">
      <c r="A26" s="179" t="s">
        <v>77</v>
      </c>
      <c r="B26" s="180"/>
      <c r="C26" s="180"/>
      <c r="D26" s="180"/>
      <c r="E26" s="175"/>
      <c r="F26" s="175"/>
    </row>
    <row r="27" spans="1:6" ht="13.5" customHeight="1" x14ac:dyDescent="0.2">
      <c r="A27" s="178"/>
      <c r="B27" s="176"/>
      <c r="C27" s="176"/>
      <c r="D27" s="176"/>
      <c r="E27" s="175"/>
      <c r="F27" s="175"/>
    </row>
    <row r="28" spans="1:6" ht="13.5" customHeight="1" x14ac:dyDescent="0.2">
      <c r="A28" s="179" t="s">
        <v>64</v>
      </c>
      <c r="B28" s="180"/>
      <c r="C28" s="180"/>
      <c r="D28" s="180"/>
      <c r="E28" s="181"/>
      <c r="F28" s="175"/>
    </row>
    <row r="29" spans="1:6" ht="35.25" customHeight="1" x14ac:dyDescent="0.2">
      <c r="A29" s="179"/>
      <c r="B29" s="176"/>
      <c r="C29" s="176"/>
      <c r="D29" s="176"/>
      <c r="E29" s="181"/>
      <c r="F29" s="175"/>
    </row>
    <row r="30" spans="1:6" ht="13.5" customHeight="1" x14ac:dyDescent="0.2">
      <c r="A30" s="182" t="s">
        <v>81</v>
      </c>
      <c r="B30" s="176"/>
      <c r="C30" s="176"/>
      <c r="D30" s="176"/>
      <c r="E30" s="176"/>
      <c r="F30" s="176"/>
    </row>
    <row r="31" spans="1:6" ht="13.5" customHeight="1" x14ac:dyDescent="0.2">
      <c r="A31" s="175"/>
      <c r="B31" s="176"/>
      <c r="C31" s="176"/>
      <c r="D31" s="176"/>
      <c r="E31" s="176"/>
      <c r="F31" s="176"/>
    </row>
    <row r="32" spans="1:6" ht="13.5" customHeight="1" x14ac:dyDescent="0.2">
      <c r="A32" s="179" t="s">
        <v>78</v>
      </c>
      <c r="B32" s="180"/>
      <c r="C32" s="180"/>
      <c r="D32" s="180"/>
      <c r="E32" s="177"/>
      <c r="F32" s="176"/>
    </row>
    <row r="33" spans="1:6" ht="13.5" customHeight="1" x14ac:dyDescent="0.2">
      <c r="A33" s="175"/>
      <c r="B33" s="176"/>
      <c r="C33" s="176"/>
      <c r="D33" s="176"/>
      <c r="E33" s="175"/>
      <c r="F33" s="175"/>
    </row>
    <row r="34" spans="1:6" ht="13.5" customHeight="1" x14ac:dyDescent="0.2">
      <c r="A34" s="179" t="s">
        <v>77</v>
      </c>
      <c r="B34" s="180"/>
      <c r="C34" s="180"/>
      <c r="D34" s="180"/>
      <c r="E34" s="176"/>
      <c r="F34" s="176"/>
    </row>
    <row r="35" spans="1:6" ht="13.5" customHeight="1" x14ac:dyDescent="0.2">
      <c r="A35" s="178"/>
      <c r="B35" s="176"/>
      <c r="C35" s="176"/>
      <c r="D35" s="176"/>
      <c r="E35" s="176"/>
      <c r="F35" s="176"/>
    </row>
    <row r="36" spans="1:6" ht="13.5" customHeight="1" x14ac:dyDescent="0.2">
      <c r="A36" s="179" t="s">
        <v>64</v>
      </c>
      <c r="B36" s="180"/>
      <c r="C36" s="180"/>
      <c r="D36" s="180"/>
      <c r="E36" s="181"/>
      <c r="F36" s="176"/>
    </row>
    <row r="37" spans="1:6" ht="13.5" customHeight="1" x14ac:dyDescent="0.2">
      <c r="A37" s="176"/>
      <c r="B37" s="176"/>
      <c r="C37" s="176"/>
      <c r="D37" s="176"/>
      <c r="E37" s="176"/>
      <c r="F37" s="176"/>
    </row>
    <row r="38" spans="1:6" ht="13.5" customHeight="1" x14ac:dyDescent="0.2">
      <c r="A38" s="176"/>
      <c r="B38" s="183" t="s">
        <v>75</v>
      </c>
      <c r="C38" s="176"/>
      <c r="D38" s="176"/>
      <c r="E38" s="176"/>
      <c r="F38" s="176"/>
    </row>
    <row r="39" spans="1:6" ht="13.5" customHeight="1" x14ac:dyDescent="0.2">
      <c r="A39" s="176"/>
      <c r="B39" s="176"/>
      <c r="C39" s="176"/>
      <c r="D39" s="176"/>
      <c r="E39" s="176"/>
      <c r="F39" s="176"/>
    </row>
    <row r="40" spans="1:6" ht="13.5" customHeight="1" x14ac:dyDescent="0.2">
      <c r="A40" s="176"/>
      <c r="B40" s="229" t="s">
        <v>67</v>
      </c>
      <c r="C40" s="229"/>
      <c r="D40" s="176"/>
      <c r="E40" s="176"/>
      <c r="F40" s="176"/>
    </row>
    <row r="41" spans="1:6" ht="13.5" customHeight="1" x14ac:dyDescent="0.2">
      <c r="A41" s="176"/>
      <c r="B41" s="229"/>
      <c r="C41" s="229"/>
      <c r="D41" s="176"/>
      <c r="E41" s="176"/>
      <c r="F41" s="176"/>
    </row>
    <row r="42" spans="1:6" ht="13.5" customHeight="1" x14ac:dyDescent="0.2">
      <c r="A42" s="176"/>
      <c r="B42" s="229"/>
      <c r="C42" s="229"/>
      <c r="D42" s="176"/>
      <c r="E42" s="176"/>
      <c r="F42" s="176"/>
    </row>
    <row r="43" spans="1:6" ht="13.5" customHeight="1" x14ac:dyDescent="0.2">
      <c r="A43" s="176"/>
      <c r="B43" s="229"/>
      <c r="C43" s="229"/>
      <c r="D43" s="176"/>
      <c r="E43" s="176"/>
      <c r="F43" s="176"/>
    </row>
    <row r="44" spans="1:6" ht="13.5" customHeight="1" x14ac:dyDescent="0.2">
      <c r="A44" s="176"/>
      <c r="B44" s="229"/>
      <c r="C44" s="229"/>
      <c r="D44" s="176"/>
      <c r="E44" s="176"/>
      <c r="F44" s="176"/>
    </row>
    <row r="45" spans="1:6" ht="13.5" customHeight="1" x14ac:dyDescent="0.2">
      <c r="A45" s="176"/>
      <c r="B45" s="176"/>
      <c r="C45" s="176"/>
      <c r="D45" s="176"/>
      <c r="E45" s="176"/>
      <c r="F45" s="176"/>
    </row>
    <row r="46" spans="1:6" ht="13.5" customHeight="1" x14ac:dyDescent="0.2">
      <c r="A46" s="176"/>
      <c r="B46" s="176"/>
      <c r="C46" s="176"/>
      <c r="D46" s="176"/>
      <c r="E46" s="176"/>
      <c r="F46" s="176"/>
    </row>
    <row r="47" spans="1:6" ht="13.5" customHeight="1" x14ac:dyDescent="0.2">
      <c r="A47" s="176"/>
      <c r="B47" s="176"/>
      <c r="C47" s="176"/>
      <c r="D47" s="176"/>
      <c r="E47" s="176"/>
      <c r="F47" s="176"/>
    </row>
    <row r="48" spans="1:6" ht="13.5" customHeight="1" x14ac:dyDescent="0.2">
      <c r="A48" s="176"/>
      <c r="B48" s="175"/>
      <c r="C48" s="175"/>
      <c r="D48" s="175"/>
      <c r="E48" s="175"/>
      <c r="F48" s="175"/>
    </row>
    <row r="49" spans="1:6" ht="13.5" customHeight="1" x14ac:dyDescent="0.2">
      <c r="A49" s="176"/>
      <c r="B49" s="175"/>
      <c r="C49" s="175"/>
      <c r="D49" s="175"/>
      <c r="E49" s="175"/>
      <c r="F49" s="175"/>
    </row>
  </sheetData>
  <sheetProtection algorithmName="SHA-512" hashValue="3Hx4wFesVCMpuqUFeY0BZMXS0/HwvU2d0fI81t8UVKAsM/PuhpsKJuU+zmUfSpY4AcuSuTScBFnDgmU4c2pXBA==" saltValue="uA1179ei11qD7qetmN6mzg==" spinCount="100000" sheet="1" objects="1" scenarios="1" selectLockedCells="1"/>
  <mergeCells count="5">
    <mergeCell ref="B40:C44"/>
    <mergeCell ref="A3:F3"/>
    <mergeCell ref="A4:F4"/>
    <mergeCell ref="A2:F2"/>
    <mergeCell ref="A1:F1"/>
  </mergeCells>
  <phoneticPr fontId="0" type="noConversion"/>
  <pageMargins left="0.75" right="0.75" top="1" bottom="1" header="0.5" footer="0.5"/>
  <pageSetup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1066800</xdr:colOff>
                    <xdr:row>16</xdr:row>
                    <xdr:rowOff>152400</xdr:rowOff>
                  </from>
                  <to>
                    <xdr:col>0</xdr:col>
                    <xdr:colOff>1371600</xdr:colOff>
                    <xdr:row>18</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1066800</xdr:colOff>
                    <xdr:row>17</xdr:row>
                    <xdr:rowOff>152400</xdr:rowOff>
                  </from>
                  <to>
                    <xdr:col>0</xdr:col>
                    <xdr:colOff>1371600</xdr:colOff>
                    <xdr:row>19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21"/>
  <sheetViews>
    <sheetView tabSelected="1" workbookViewId="0">
      <selection activeCell="D34" sqref="D34"/>
    </sheetView>
  </sheetViews>
  <sheetFormatPr defaultColWidth="9.28515625" defaultRowHeight="12" x14ac:dyDescent="0.2"/>
  <cols>
    <col min="1" max="1" width="2.28515625" style="1" customWidth="1"/>
    <col min="2" max="2" width="39.140625" style="1" customWidth="1"/>
    <col min="3" max="3" width="21" style="1" customWidth="1"/>
    <col min="4" max="4" width="30.28515625" style="1" customWidth="1"/>
    <col min="5" max="5" width="42.7109375" style="2" customWidth="1"/>
    <col min="6" max="6" width="21.140625" style="1" customWidth="1"/>
    <col min="7" max="7" width="24.7109375" style="19" customWidth="1"/>
    <col min="8" max="16384" width="9.28515625" style="1"/>
  </cols>
  <sheetData>
    <row r="1" spans="1:23" s="52" customFormat="1" ht="15.75" x14ac:dyDescent="0.25">
      <c r="A1" s="51"/>
      <c r="B1" s="268" t="s">
        <v>24</v>
      </c>
      <c r="C1" s="268"/>
      <c r="D1" s="268"/>
      <c r="E1" s="268"/>
      <c r="F1" s="268"/>
      <c r="G1" s="269"/>
    </row>
    <row r="2" spans="1:23" s="52" customFormat="1" ht="15.75" x14ac:dyDescent="0.25">
      <c r="A2" s="51"/>
      <c r="B2" s="268" t="s">
        <v>58</v>
      </c>
      <c r="C2" s="268"/>
      <c r="D2" s="268"/>
      <c r="E2" s="268"/>
      <c r="F2" s="268"/>
      <c r="G2" s="269"/>
    </row>
    <row r="3" spans="1:23" ht="18.75" customHeight="1" x14ac:dyDescent="0.25">
      <c r="A3" s="274" t="s">
        <v>147</v>
      </c>
      <c r="B3" s="275"/>
      <c r="C3" s="275"/>
      <c r="D3" s="275"/>
      <c r="E3" s="275"/>
      <c r="F3" s="275"/>
      <c r="G3" s="276"/>
    </row>
    <row r="4" spans="1:23" ht="15.75" x14ac:dyDescent="0.25">
      <c r="A4" s="291" t="s">
        <v>19</v>
      </c>
      <c r="B4" s="292"/>
      <c r="C4" s="292"/>
      <c r="D4" s="292"/>
      <c r="E4" s="292"/>
      <c r="F4" s="292"/>
      <c r="G4" s="293"/>
    </row>
    <row r="5" spans="1:23" ht="11.65" customHeight="1" x14ac:dyDescent="0.2">
      <c r="A5" s="37"/>
      <c r="B5" s="225" t="s">
        <v>166</v>
      </c>
      <c r="C5" s="39"/>
      <c r="D5" s="40"/>
      <c r="E5" s="38"/>
      <c r="F5" s="38"/>
      <c r="G5" s="101"/>
    </row>
    <row r="6" spans="1:23" ht="30" customHeight="1" x14ac:dyDescent="0.25">
      <c r="A6" s="36"/>
      <c r="B6" s="78" t="s">
        <v>25</v>
      </c>
      <c r="C6" s="242" t="s">
        <v>130</v>
      </c>
      <c r="D6" s="242"/>
      <c r="E6" s="243"/>
      <c r="F6" s="100" t="s">
        <v>21</v>
      </c>
      <c r="G6" s="48" t="s">
        <v>12</v>
      </c>
    </row>
    <row r="7" spans="1:23" ht="31.5" x14ac:dyDescent="0.25">
      <c r="B7" s="80"/>
      <c r="C7" s="81"/>
      <c r="D7" s="81"/>
      <c r="E7" s="60"/>
      <c r="F7" s="49" t="s">
        <v>21</v>
      </c>
      <c r="G7" s="48" t="s">
        <v>13</v>
      </c>
    </row>
    <row r="8" spans="1:23" ht="15.75" x14ac:dyDescent="0.25">
      <c r="B8" s="80" t="s">
        <v>112</v>
      </c>
      <c r="C8" s="167"/>
      <c r="D8" s="167"/>
      <c r="E8" s="60"/>
      <c r="F8" s="60"/>
      <c r="G8" s="166"/>
    </row>
    <row r="9" spans="1:23" ht="15.75" x14ac:dyDescent="0.25">
      <c r="B9" s="80"/>
      <c r="C9" s="81"/>
      <c r="D9" s="81"/>
      <c r="E9" s="60"/>
      <c r="F9" s="60"/>
      <c r="G9" s="166"/>
    </row>
    <row r="10" spans="1:23" s="29" customFormat="1" ht="15" x14ac:dyDescent="0.25">
      <c r="B10" s="80" t="s">
        <v>16</v>
      </c>
      <c r="C10" s="162"/>
      <c r="D10" s="162"/>
      <c r="E10" s="60"/>
      <c r="F10" s="60"/>
    </row>
    <row r="11" spans="1:23" s="29" customFormat="1" ht="15" x14ac:dyDescent="0.25">
      <c r="B11" s="80" t="s">
        <v>36</v>
      </c>
      <c r="C11" s="162"/>
      <c r="D11" s="162"/>
      <c r="F11" s="60"/>
      <c r="G11" s="110"/>
      <c r="H11" s="110"/>
      <c r="I11" s="110"/>
      <c r="J11" s="110"/>
      <c r="K11" s="110"/>
      <c r="L11" s="110"/>
      <c r="M11" s="110"/>
      <c r="N11" s="110"/>
      <c r="O11" s="110"/>
      <c r="P11" s="110"/>
      <c r="Q11" s="110"/>
      <c r="R11" s="110"/>
      <c r="S11" s="110"/>
      <c r="T11" s="110"/>
      <c r="U11" s="110"/>
      <c r="V11" s="110"/>
      <c r="W11" s="110"/>
    </row>
    <row r="12" spans="1:23" s="90" customFormat="1" ht="15" x14ac:dyDescent="0.25">
      <c r="B12" s="88"/>
      <c r="C12" s="112"/>
      <c r="D12" s="112"/>
      <c r="F12" s="96"/>
      <c r="G12" s="110"/>
      <c r="H12" s="110"/>
      <c r="I12" s="110"/>
      <c r="J12" s="110"/>
      <c r="K12" s="110"/>
      <c r="L12" s="110"/>
      <c r="M12" s="110"/>
      <c r="N12" s="110"/>
      <c r="O12" s="110"/>
      <c r="P12" s="110"/>
      <c r="Q12" s="110"/>
      <c r="R12" s="110"/>
      <c r="S12" s="110"/>
      <c r="T12" s="110"/>
      <c r="U12" s="110"/>
      <c r="V12" s="110"/>
      <c r="W12" s="110"/>
    </row>
    <row r="13" spans="1:23" s="4" customFormat="1" ht="14.25" customHeight="1" x14ac:dyDescent="0.25">
      <c r="B13" s="80" t="s">
        <v>35</v>
      </c>
      <c r="C13" s="136" t="s">
        <v>128</v>
      </c>
      <c r="D13" s="136"/>
      <c r="E13" s="80" t="s">
        <v>23</v>
      </c>
      <c r="F13" s="137" t="s">
        <v>127</v>
      </c>
      <c r="G13" s="109"/>
      <c r="H13" s="111"/>
      <c r="I13" s="111"/>
      <c r="J13" s="111"/>
      <c r="K13" s="111"/>
      <c r="L13" s="111"/>
      <c r="M13" s="111"/>
      <c r="N13" s="111"/>
      <c r="O13" s="111"/>
      <c r="P13" s="111"/>
      <c r="Q13" s="111"/>
      <c r="R13" s="111"/>
      <c r="S13" s="111"/>
      <c r="T13" s="111"/>
      <c r="U13" s="111"/>
      <c r="V13" s="111"/>
      <c r="W13" s="111"/>
    </row>
    <row r="14" spans="1:23" s="4" customFormat="1" ht="14.25" customHeight="1" x14ac:dyDescent="0.25">
      <c r="B14" s="80" t="s">
        <v>37</v>
      </c>
      <c r="C14" s="136" t="s">
        <v>129</v>
      </c>
      <c r="D14" s="136"/>
      <c r="E14" s="80" t="s">
        <v>38</v>
      </c>
      <c r="F14" s="137" t="s">
        <v>127</v>
      </c>
      <c r="G14" s="109"/>
      <c r="H14" s="111"/>
      <c r="I14" s="111"/>
      <c r="J14" s="111"/>
      <c r="K14" s="111"/>
      <c r="L14" s="111"/>
      <c r="M14" s="111"/>
      <c r="N14" s="111"/>
      <c r="O14" s="111"/>
      <c r="P14" s="111"/>
      <c r="Q14" s="111"/>
      <c r="R14" s="111"/>
      <c r="S14" s="111"/>
      <c r="T14" s="111"/>
      <c r="U14" s="111"/>
      <c r="V14" s="111"/>
      <c r="W14" s="111"/>
    </row>
    <row r="15" spans="1:23" s="91" customFormat="1" ht="9" customHeight="1" x14ac:dyDescent="0.25">
      <c r="B15" s="88"/>
      <c r="C15" s="107"/>
      <c r="D15" s="107"/>
      <c r="E15" s="88"/>
      <c r="F15" s="92"/>
      <c r="G15" s="109"/>
      <c r="H15" s="111"/>
      <c r="I15" s="111"/>
      <c r="J15" s="111"/>
      <c r="K15" s="111"/>
      <c r="L15" s="111"/>
      <c r="M15" s="111"/>
      <c r="N15" s="111"/>
      <c r="O15" s="111"/>
      <c r="P15" s="111"/>
      <c r="Q15" s="111"/>
      <c r="R15" s="111"/>
      <c r="S15" s="111"/>
      <c r="T15" s="111"/>
      <c r="U15" s="111"/>
      <c r="V15" s="111"/>
      <c r="W15" s="111"/>
    </row>
    <row r="16" spans="1:23" s="4" customFormat="1" ht="14.25" customHeight="1" x14ac:dyDescent="0.25">
      <c r="B16" s="80" t="s">
        <v>22</v>
      </c>
      <c r="C16" s="136"/>
      <c r="D16" s="136"/>
      <c r="E16" s="80" t="s">
        <v>7</v>
      </c>
      <c r="F16" s="138"/>
      <c r="G16" s="109"/>
      <c r="H16" s="111"/>
      <c r="I16" s="111"/>
      <c r="J16" s="111"/>
      <c r="K16" s="111"/>
      <c r="L16" s="111"/>
      <c r="M16" s="111"/>
      <c r="N16" s="111"/>
      <c r="O16" s="111"/>
      <c r="P16" s="111"/>
      <c r="Q16" s="111"/>
      <c r="R16" s="111"/>
      <c r="S16" s="111"/>
      <c r="T16" s="111"/>
      <c r="U16" s="111"/>
      <c r="V16" s="111"/>
      <c r="W16" s="111"/>
    </row>
    <row r="17" spans="1:8" s="4" customFormat="1" ht="14.25" customHeight="1" x14ac:dyDescent="0.25">
      <c r="B17" s="80" t="s">
        <v>40</v>
      </c>
      <c r="C17" s="136"/>
      <c r="D17" s="136"/>
      <c r="E17" s="88"/>
      <c r="F17" s="108"/>
      <c r="G17" s="109"/>
    </row>
    <row r="18" spans="1:8" s="4" customFormat="1" ht="15" customHeight="1" x14ac:dyDescent="0.2">
      <c r="C18" s="9"/>
      <c r="F18" s="35"/>
      <c r="G18" s="227"/>
    </row>
    <row r="19" spans="1:8" s="4" customFormat="1" ht="15" customHeight="1" x14ac:dyDescent="0.2">
      <c r="B19" s="3"/>
      <c r="C19" s="3"/>
      <c r="E19" s="14"/>
      <c r="F19" s="226"/>
      <c r="G19" s="227" t="s">
        <v>164</v>
      </c>
    </row>
    <row r="20" spans="1:8" s="4" customFormat="1" ht="15" x14ac:dyDescent="0.25">
      <c r="B20" s="56" t="s">
        <v>17</v>
      </c>
      <c r="C20" s="56" t="s">
        <v>14</v>
      </c>
      <c r="D20" s="57" t="s">
        <v>149</v>
      </c>
      <c r="E20" s="56" t="s">
        <v>151</v>
      </c>
      <c r="F20" s="56" t="s">
        <v>0</v>
      </c>
      <c r="G20" s="58" t="s">
        <v>2</v>
      </c>
    </row>
    <row r="21" spans="1:8" s="4" customFormat="1" ht="14.25" x14ac:dyDescent="0.2">
      <c r="A21" s="4">
        <v>1</v>
      </c>
      <c r="B21" s="139"/>
      <c r="C21" s="139"/>
      <c r="D21" s="140"/>
      <c r="E21" s="141"/>
      <c r="F21" s="141"/>
      <c r="G21" s="142"/>
    </row>
    <row r="22" spans="1:8" s="4" customFormat="1" ht="14.25" x14ac:dyDescent="0.2">
      <c r="A22" s="4">
        <v>2</v>
      </c>
      <c r="B22" s="139"/>
      <c r="C22" s="139"/>
      <c r="D22" s="140"/>
      <c r="E22" s="141"/>
      <c r="F22" s="141"/>
      <c r="G22" s="142"/>
    </row>
    <row r="23" spans="1:8" s="4" customFormat="1" ht="14.25" x14ac:dyDescent="0.2">
      <c r="A23" s="4">
        <v>3</v>
      </c>
      <c r="B23" s="139"/>
      <c r="C23" s="139"/>
      <c r="D23" s="143"/>
      <c r="E23" s="144"/>
      <c r="F23" s="144"/>
      <c r="G23" s="142"/>
    </row>
    <row r="24" spans="1:8" s="6" customFormat="1" ht="14.25" x14ac:dyDescent="0.2">
      <c r="A24" s="4"/>
      <c r="B24" s="60"/>
      <c r="C24" s="60"/>
      <c r="D24" s="61" t="s">
        <v>1</v>
      </c>
      <c r="E24" s="62"/>
      <c r="F24" s="63"/>
      <c r="G24" s="64">
        <f>SUM(G21:G23)</f>
        <v>0</v>
      </c>
    </row>
    <row r="25" spans="1:8" s="6" customFormat="1" ht="14.25" x14ac:dyDescent="0.2">
      <c r="A25" s="4"/>
      <c r="B25" s="124" t="s">
        <v>88</v>
      </c>
      <c r="C25" s="60"/>
      <c r="D25" s="61" t="str">
        <f>"BENEFITS at "&amp;'Rates and Calcs'!F14*100&amp;"%"</f>
        <v>BENEFITS at 29.2%</v>
      </c>
      <c r="E25" s="62"/>
      <c r="F25" s="63"/>
      <c r="G25" s="64">
        <f>G24*'Rates and Calcs'!F14</f>
        <v>0</v>
      </c>
    </row>
    <row r="26" spans="1:8" s="6" customFormat="1" ht="14.25" x14ac:dyDescent="0.2">
      <c r="A26" s="4"/>
      <c r="C26" s="60"/>
      <c r="D26" s="61" t="s">
        <v>102</v>
      </c>
      <c r="E26" s="62"/>
      <c r="F26" s="63"/>
      <c r="G26" s="64">
        <f>G24+G25</f>
        <v>0</v>
      </c>
    </row>
    <row r="27" spans="1:8" s="6" customFormat="1" ht="14.25" x14ac:dyDescent="0.2">
      <c r="A27" s="4"/>
      <c r="B27" s="123" t="s">
        <v>39</v>
      </c>
      <c r="C27" s="89"/>
      <c r="D27" s="65"/>
      <c r="E27" s="66"/>
      <c r="F27" s="60"/>
      <c r="G27" s="93"/>
      <c r="H27" s="94"/>
    </row>
    <row r="28" spans="1:8" s="6" customFormat="1" ht="21.75" customHeight="1" x14ac:dyDescent="0.2">
      <c r="B28" s="60"/>
      <c r="C28" s="60"/>
      <c r="D28" s="65"/>
      <c r="E28" s="66"/>
      <c r="F28" s="60"/>
      <c r="G28" s="93"/>
      <c r="H28" s="94"/>
    </row>
    <row r="29" spans="1:8" s="4" customFormat="1" ht="15.75" thickBot="1" x14ac:dyDescent="0.3">
      <c r="A29" s="6"/>
      <c r="B29" s="68" t="s">
        <v>18</v>
      </c>
      <c r="C29" s="56" t="s">
        <v>14</v>
      </c>
      <c r="D29" s="163" t="s">
        <v>109</v>
      </c>
      <c r="E29" s="57"/>
      <c r="F29" s="57" t="s">
        <v>148</v>
      </c>
      <c r="G29" s="95" t="s">
        <v>2</v>
      </c>
      <c r="H29" s="35"/>
    </row>
    <row r="30" spans="1:8" s="6" customFormat="1" ht="14.25" x14ac:dyDescent="0.2">
      <c r="A30" s="4">
        <v>1</v>
      </c>
      <c r="B30" s="139"/>
      <c r="C30" s="59"/>
      <c r="D30" s="143">
        <v>0</v>
      </c>
      <c r="E30" s="70" t="s">
        <v>15</v>
      </c>
      <c r="F30" s="71">
        <f>IF('Rates and Calcs'!B9&lt;&gt;MAX('Rates and Calcs'!A16:A28),VLOOKUP('Rates and Calcs'!B9,'Rates and Calcs'!$A$16:$M$28,8,FALSE),C31*0.68)</f>
        <v>0</v>
      </c>
      <c r="G30" s="131">
        <f>D30*F30</f>
        <v>0</v>
      </c>
    </row>
    <row r="31" spans="1:8" s="6" customFormat="1" ht="14.25" customHeight="1" x14ac:dyDescent="0.2">
      <c r="B31" s="66" t="str">
        <f>IF('Rates and Calcs'!$B9=MAX('Rates and Calcs'!$A$16:$A$28),"Enter FY25 full year tuition + tech fee -&gt;","")</f>
        <v/>
      </c>
      <c r="C31" s="161"/>
      <c r="D31" s="105">
        <f>D30</f>
        <v>0</v>
      </c>
      <c r="E31" s="73" t="s">
        <v>65</v>
      </c>
      <c r="F31" s="74">
        <f>IF('Rates and Calcs'!B9&lt;&gt;MAX('Rates and Calcs'!A16:A28),VLOOKUP('Rates and Calcs'!B9,'Rates and Calcs'!$A$16:$M$28,9,FALSE),C31-F30)</f>
        <v>0</v>
      </c>
      <c r="G31" s="132">
        <f t="shared" ref="G31:G33" si="0">D31*F31</f>
        <v>0</v>
      </c>
    </row>
    <row r="32" spans="1:8" s="6" customFormat="1" ht="14.25" customHeight="1" x14ac:dyDescent="0.2">
      <c r="B32" s="66" t="str">
        <f>IF('Rates and Calcs'!$B9=MIN('Rates and Calcs'!$A$16:$A$28),"",IF('Rates and Calcs'!$B9=MAX('Rates and Calcs'!$A$16:$A$28),"Enter FY25 full year stipend -&gt;","Enter FY25 full-year stipend"))</f>
        <v/>
      </c>
      <c r="C32" s="161"/>
      <c r="D32" s="106">
        <f>D31</f>
        <v>0</v>
      </c>
      <c r="E32" s="70" t="s">
        <v>41</v>
      </c>
      <c r="F32" s="71">
        <f>IF('Rates and Calcs'!B9&lt;&gt;MAX('Rates and Calcs'!A16:A28),VLOOKUP('Rates and Calcs'!B9,'Rates and Calcs'!$A$16:$M$28,10,FALSE),C32)</f>
        <v>0</v>
      </c>
      <c r="G32" s="133">
        <f t="shared" si="0"/>
        <v>0</v>
      </c>
    </row>
    <row r="33" spans="1:7" s="6" customFormat="1" ht="14.25" customHeight="1" x14ac:dyDescent="0.2">
      <c r="B33" s="66" t="str">
        <f>IF('Rates and Calcs'!$B9=MAX('Rates and Calcs'!$A$16:$A$28),"Enter FY25 full year SHIP -&gt;","")</f>
        <v/>
      </c>
      <c r="C33" s="161"/>
      <c r="D33" s="106">
        <f>D32</f>
        <v>0</v>
      </c>
      <c r="E33" s="70" t="s">
        <v>100</v>
      </c>
      <c r="F33" s="71">
        <f>IF('Rates and Calcs'!B9&lt;&gt;MAX('Rates and Calcs'!A16:A28),VLOOKUP('Rates and Calcs'!B9,'Rates and Calcs'!$A$16:$M$28,11,FALSE),C33)</f>
        <v>0</v>
      </c>
      <c r="G33" s="133">
        <f t="shared" si="0"/>
        <v>0</v>
      </c>
    </row>
    <row r="34" spans="1:7" s="6" customFormat="1" ht="14.25" customHeight="1" x14ac:dyDescent="0.2">
      <c r="A34" s="6">
        <v>2</v>
      </c>
      <c r="B34" s="139"/>
      <c r="C34" s="59"/>
      <c r="D34" s="145">
        <v>0</v>
      </c>
      <c r="E34" s="70" t="s">
        <v>15</v>
      </c>
      <c r="F34" s="71">
        <f>IF('Rates and Calcs'!B10&lt;&gt;MAX('Rates and Calcs'!A16:A28),VLOOKUP('Rates and Calcs'!B10,'Rates and Calcs'!$A$16:$M$28,8,FALSE),C35*0.68)</f>
        <v>0</v>
      </c>
      <c r="G34" s="131">
        <f>D34*F34</f>
        <v>0</v>
      </c>
    </row>
    <row r="35" spans="1:7" s="6" customFormat="1" ht="14.25" customHeight="1" x14ac:dyDescent="0.2">
      <c r="B35" s="66" t="str">
        <f>IF('Rates and Calcs'!$B10=MAX('Rates and Calcs'!$A$16:$A$28),"Enter FY25 full year tuition + tech fee -&gt;","")</f>
        <v/>
      </c>
      <c r="C35" s="161"/>
      <c r="D35" s="105">
        <f>D34</f>
        <v>0</v>
      </c>
      <c r="E35" s="73" t="s">
        <v>65</v>
      </c>
      <c r="F35" s="74">
        <f>IF('Rates and Calcs'!B10&lt;&gt;MAX('Rates and Calcs'!A16:A28),VLOOKUP('Rates and Calcs'!B10,'Rates and Calcs'!$A$16:$M$28,9,FALSE),C35-F34)</f>
        <v>0</v>
      </c>
      <c r="G35" s="132">
        <f>F35*D35</f>
        <v>0</v>
      </c>
    </row>
    <row r="36" spans="1:7" s="6" customFormat="1" ht="14.25" customHeight="1" x14ac:dyDescent="0.2">
      <c r="B36" s="66" t="str">
        <f>IF('Rates and Calcs'!$B10=MIN('Rates and Calcs'!$A16:$A28),"",IF('Rates and Calcs'!$B10=MAX('Rates and Calcs'!$A$16:$A$28),"Enter FY25 full year stipend -&gt;","Enter FY25 full-year stipend"))</f>
        <v/>
      </c>
      <c r="C36" s="161"/>
      <c r="D36" s="106">
        <f>D35</f>
        <v>0</v>
      </c>
      <c r="E36" s="70" t="s">
        <v>41</v>
      </c>
      <c r="F36" s="71">
        <f>IF('Rates and Calcs'!B10&lt;&gt;MAX('Rates and Calcs'!A16:A28),VLOOKUP('Rates and Calcs'!B10,'Rates and Calcs'!$A$16:$M$28,10,FALSE),C36)</f>
        <v>0</v>
      </c>
      <c r="G36" s="133">
        <f>D36*F36</f>
        <v>0</v>
      </c>
    </row>
    <row r="37" spans="1:7" s="6" customFormat="1" ht="14.25" customHeight="1" x14ac:dyDescent="0.2">
      <c r="B37" s="66" t="str">
        <f>IF('Rates and Calcs'!$B10=MAX('Rates and Calcs'!$A$16:$A$28),"Enter FY25 full year SHIP -&gt;","")</f>
        <v/>
      </c>
      <c r="C37" s="161"/>
      <c r="D37" s="106">
        <f>D36</f>
        <v>0</v>
      </c>
      <c r="E37" s="70" t="s">
        <v>100</v>
      </c>
      <c r="F37" s="71">
        <f>IF('Rates and Calcs'!B10&lt;&gt;MAX('Rates and Calcs'!A16:A28),VLOOKUP('Rates and Calcs'!B10,'Rates and Calcs'!$A$16:$M$28,11,FALSE),C37)</f>
        <v>0</v>
      </c>
      <c r="G37" s="133">
        <f>F37*D37</f>
        <v>0</v>
      </c>
    </row>
    <row r="38" spans="1:7" s="6" customFormat="1" ht="15" x14ac:dyDescent="0.25">
      <c r="B38" s="60"/>
      <c r="C38" s="80" t="str">
        <f>IF(AND('Rates and Calcs'!B9='Rates and Calcs'!B10,Budget!C32&lt;&gt;Budget!C36),"INCONSISTENT FY25 STIPEND IN SAME DEPT","")</f>
        <v/>
      </c>
      <c r="D38" s="277" t="s">
        <v>101</v>
      </c>
      <c r="E38" s="278"/>
      <c r="F38" s="63"/>
      <c r="G38" s="134">
        <f>G30+G32+G33+G34+G36+G37</f>
        <v>0</v>
      </c>
    </row>
    <row r="39" spans="1:7" s="6" customFormat="1" ht="21.75" customHeight="1" x14ac:dyDescent="0.2">
      <c r="B39" s="60"/>
      <c r="C39" s="60"/>
      <c r="D39" s="65"/>
      <c r="E39" s="66"/>
      <c r="F39" s="60"/>
      <c r="G39" s="67"/>
    </row>
    <row r="40" spans="1:7" s="4" customFormat="1" ht="15.75" thickBot="1" x14ac:dyDescent="0.3">
      <c r="A40" s="6"/>
      <c r="B40" s="56" t="s">
        <v>103</v>
      </c>
      <c r="C40" s="246" t="s">
        <v>69</v>
      </c>
      <c r="D40" s="246"/>
      <c r="E40" s="56" t="s">
        <v>113</v>
      </c>
      <c r="F40" s="56" t="s">
        <v>68</v>
      </c>
      <c r="G40" s="69" t="s">
        <v>2</v>
      </c>
    </row>
    <row r="41" spans="1:7" s="4" customFormat="1" ht="14.25" customHeight="1" x14ac:dyDescent="0.2">
      <c r="B41" s="146"/>
      <c r="C41" s="244"/>
      <c r="D41" s="245"/>
      <c r="E41" s="171">
        <v>12</v>
      </c>
      <c r="F41" s="147">
        <v>0</v>
      </c>
      <c r="G41" s="170">
        <f>E41*F41</f>
        <v>0</v>
      </c>
    </row>
    <row r="42" spans="1:7" s="4" customFormat="1" ht="14.25" customHeight="1" x14ac:dyDescent="0.2">
      <c r="B42" s="146"/>
      <c r="C42" s="244"/>
      <c r="D42" s="245"/>
      <c r="E42" s="171">
        <v>12</v>
      </c>
      <c r="F42" s="147">
        <v>0</v>
      </c>
      <c r="G42" s="72">
        <f>E42*F42</f>
        <v>0</v>
      </c>
    </row>
    <row r="43" spans="1:7" s="6" customFormat="1" ht="14.25" x14ac:dyDescent="0.2">
      <c r="A43" s="4"/>
      <c r="B43" s="60"/>
      <c r="C43" s="60"/>
      <c r="D43" s="76" t="s">
        <v>1</v>
      </c>
      <c r="E43" s="77"/>
      <c r="F43" s="75"/>
      <c r="G43" s="64">
        <f>SUM(G41:G42)</f>
        <v>0</v>
      </c>
    </row>
    <row r="44" spans="1:7" s="6" customFormat="1" ht="21.75" customHeight="1" x14ac:dyDescent="0.2">
      <c r="B44" s="60"/>
      <c r="C44" s="60"/>
      <c r="D44" s="65"/>
      <c r="E44" s="66"/>
      <c r="F44" s="60"/>
      <c r="G44" s="67"/>
    </row>
    <row r="45" spans="1:7" s="4" customFormat="1" ht="15.75" thickBot="1" x14ac:dyDescent="0.3">
      <c r="A45" s="6"/>
      <c r="B45" s="56" t="s">
        <v>11</v>
      </c>
      <c r="C45" s="246" t="s">
        <v>69</v>
      </c>
      <c r="D45" s="246"/>
      <c r="E45" s="56" t="s">
        <v>113</v>
      </c>
      <c r="F45" s="56" t="s">
        <v>68</v>
      </c>
      <c r="G45" s="69" t="s">
        <v>2</v>
      </c>
    </row>
    <row r="46" spans="1:7" s="4" customFormat="1" ht="14.25" customHeight="1" x14ac:dyDescent="0.2">
      <c r="B46" s="146"/>
      <c r="C46" s="244"/>
      <c r="D46" s="245"/>
      <c r="E46" s="171">
        <v>12</v>
      </c>
      <c r="F46" s="147">
        <v>0</v>
      </c>
      <c r="G46" s="170">
        <f>E46*F46</f>
        <v>0</v>
      </c>
    </row>
    <row r="47" spans="1:7" s="4" customFormat="1" ht="14.25" customHeight="1" x14ac:dyDescent="0.2">
      <c r="B47" s="146"/>
      <c r="C47" s="244"/>
      <c r="D47" s="245"/>
      <c r="E47" s="171">
        <v>12</v>
      </c>
      <c r="F47" s="147">
        <v>0</v>
      </c>
      <c r="G47" s="72">
        <f>E47*F47</f>
        <v>0</v>
      </c>
    </row>
    <row r="48" spans="1:7" s="6" customFormat="1" ht="14.25" x14ac:dyDescent="0.2">
      <c r="A48" s="4"/>
      <c r="B48" s="60"/>
      <c r="C48" s="60"/>
      <c r="D48" s="76" t="s">
        <v>1</v>
      </c>
      <c r="E48" s="77"/>
      <c r="F48" s="75"/>
      <c r="G48" s="64">
        <f>SUM(G46:G47)</f>
        <v>0</v>
      </c>
    </row>
    <row r="49" spans="1:7" s="6" customFormat="1" ht="21.75" customHeight="1" x14ac:dyDescent="0.2">
      <c r="D49" s="7"/>
      <c r="E49" s="15"/>
      <c r="G49" s="18"/>
    </row>
    <row r="50" spans="1:7" s="4" customFormat="1" ht="16.5" thickBot="1" x14ac:dyDescent="0.3">
      <c r="A50" s="6"/>
      <c r="B50" s="270" t="s">
        <v>31</v>
      </c>
      <c r="C50" s="271"/>
      <c r="D50" s="12" t="s">
        <v>4</v>
      </c>
      <c r="E50" s="16"/>
      <c r="F50" s="13"/>
      <c r="G50" s="17" t="s">
        <v>2</v>
      </c>
    </row>
    <row r="51" spans="1:7" s="4" customFormat="1" ht="33.75" customHeight="1" x14ac:dyDescent="0.2">
      <c r="B51" s="3"/>
      <c r="C51" s="3"/>
      <c r="D51" s="82" t="s">
        <v>5</v>
      </c>
      <c r="E51" s="279" t="s">
        <v>27</v>
      </c>
      <c r="F51" s="280"/>
      <c r="G51" s="148"/>
    </row>
    <row r="52" spans="1:7" s="4" customFormat="1" ht="14.25" x14ac:dyDescent="0.2">
      <c r="D52" s="83" t="s">
        <v>26</v>
      </c>
      <c r="E52" s="150"/>
      <c r="F52" s="151"/>
      <c r="G52" s="149"/>
    </row>
    <row r="53" spans="1:7" s="4" customFormat="1" ht="14.25" x14ac:dyDescent="0.2">
      <c r="D53" s="83" t="str">
        <f>IF('Rates and Calcs'!F11&lt;&gt;0,"IC Computing Facilities","")</f>
        <v/>
      </c>
      <c r="E53" s="172"/>
      <c r="F53" s="173"/>
      <c r="G53" s="164" t="str">
        <f>IF('Rates and Calcs'!F11&lt;&gt;0,'Rates and Calcs'!F11,"")</f>
        <v/>
      </c>
    </row>
    <row r="54" spans="1:7" s="4" customFormat="1" ht="14.25" x14ac:dyDescent="0.2">
      <c r="D54" s="253" t="s">
        <v>28</v>
      </c>
      <c r="E54" s="253"/>
      <c r="F54" s="254"/>
      <c r="G54" s="164"/>
    </row>
    <row r="55" spans="1:7" s="6" customFormat="1" ht="14.25" x14ac:dyDescent="0.2">
      <c r="A55" s="4"/>
      <c r="B55" s="4"/>
      <c r="C55" s="4"/>
      <c r="D55" s="84" t="s">
        <v>1</v>
      </c>
      <c r="E55" s="62"/>
      <c r="F55" s="63"/>
      <c r="G55" s="64">
        <f>SUM(G51:G53)</f>
        <v>0</v>
      </c>
    </row>
    <row r="56" spans="1:7" s="6" customFormat="1" ht="21.75" customHeight="1" x14ac:dyDescent="0.2">
      <c r="D56" s="7"/>
      <c r="E56" s="15"/>
      <c r="G56" s="18"/>
    </row>
    <row r="57" spans="1:7" s="4" customFormat="1" ht="16.5" thickBot="1" x14ac:dyDescent="0.3">
      <c r="A57" s="6"/>
      <c r="B57" s="54" t="s">
        <v>32</v>
      </c>
      <c r="C57" s="12"/>
      <c r="D57" s="13"/>
      <c r="E57" s="16"/>
      <c r="F57" s="13"/>
      <c r="G57" s="17" t="s">
        <v>2</v>
      </c>
    </row>
    <row r="58" spans="1:7" s="4" customFormat="1" ht="15" x14ac:dyDescent="0.25">
      <c r="B58" s="85" t="s">
        <v>8</v>
      </c>
      <c r="C58" s="85"/>
      <c r="D58" s="60"/>
      <c r="E58" s="66"/>
      <c r="F58" s="60"/>
      <c r="G58" s="86"/>
    </row>
    <row r="59" spans="1:7" s="4" customFormat="1" ht="13.5" customHeight="1" x14ac:dyDescent="0.2">
      <c r="A59" s="4">
        <v>1</v>
      </c>
      <c r="B59" s="136"/>
      <c r="C59" s="136"/>
      <c r="D59" s="136"/>
      <c r="E59" s="152"/>
      <c r="F59" s="153"/>
      <c r="G59" s="169">
        <v>0</v>
      </c>
    </row>
    <row r="60" spans="1:7" s="4" customFormat="1" ht="13.5" customHeight="1" x14ac:dyDescent="0.2">
      <c r="A60" s="4">
        <v>2</v>
      </c>
      <c r="B60" s="155"/>
      <c r="C60" s="155"/>
      <c r="D60" s="156"/>
      <c r="E60" s="157"/>
      <c r="F60" s="158"/>
      <c r="G60" s="154"/>
    </row>
    <row r="61" spans="1:7" s="6" customFormat="1" ht="14.25" x14ac:dyDescent="0.2">
      <c r="A61" s="4"/>
      <c r="B61" s="60"/>
      <c r="C61" s="60"/>
      <c r="D61" s="84" t="s">
        <v>1</v>
      </c>
      <c r="E61" s="62"/>
      <c r="F61" s="63"/>
      <c r="G61" s="64">
        <f>G59+G60</f>
        <v>0</v>
      </c>
    </row>
    <row r="62" spans="1:7" s="6" customFormat="1" ht="21.75" customHeight="1" x14ac:dyDescent="0.2">
      <c r="D62" s="7"/>
      <c r="E62" s="15"/>
      <c r="G62" s="18"/>
    </row>
    <row r="63" spans="1:7" s="6" customFormat="1" ht="13.5" customHeight="1" x14ac:dyDescent="0.2">
      <c r="D63" s="7"/>
      <c r="E63" s="15"/>
      <c r="G63" s="18"/>
    </row>
    <row r="64" spans="1:7" s="4" customFormat="1" ht="16.5" thickBot="1" x14ac:dyDescent="0.3">
      <c r="A64" s="6"/>
      <c r="B64" s="54" t="s">
        <v>33</v>
      </c>
      <c r="C64" s="12"/>
      <c r="D64" s="13"/>
      <c r="E64" s="16"/>
      <c r="F64" s="13"/>
      <c r="G64" s="17" t="s">
        <v>2</v>
      </c>
    </row>
    <row r="65" spans="1:8" s="4" customFormat="1" ht="15" x14ac:dyDescent="0.25">
      <c r="B65" s="81" t="s">
        <v>6</v>
      </c>
      <c r="C65" s="81"/>
      <c r="D65" s="60"/>
      <c r="E65" s="66"/>
      <c r="F65" s="60"/>
      <c r="G65" s="67"/>
    </row>
    <row r="66" spans="1:8" s="4" customFormat="1" ht="13.5" customHeight="1" x14ac:dyDescent="0.2">
      <c r="A66" s="4">
        <v>1</v>
      </c>
      <c r="B66" s="136"/>
      <c r="C66" s="136"/>
      <c r="D66" s="79" t="s">
        <v>29</v>
      </c>
      <c r="E66" s="66"/>
      <c r="F66" s="60"/>
      <c r="G66" s="154"/>
    </row>
    <row r="67" spans="1:8" s="6" customFormat="1" ht="13.5" customHeight="1" x14ac:dyDescent="0.2">
      <c r="A67" s="4"/>
      <c r="B67" s="60"/>
      <c r="C67" s="60"/>
      <c r="D67" s="84" t="s">
        <v>1</v>
      </c>
      <c r="E67" s="62"/>
      <c r="F67" s="63"/>
      <c r="G67" s="64">
        <f>G66</f>
        <v>0</v>
      </c>
    </row>
    <row r="68" spans="1:8" s="6" customFormat="1" ht="21.75" customHeight="1" x14ac:dyDescent="0.2">
      <c r="D68" s="7"/>
      <c r="E68" s="15"/>
      <c r="G68" s="18"/>
    </row>
    <row r="69" spans="1:8" s="4" customFormat="1" ht="16.5" thickBot="1" x14ac:dyDescent="0.3">
      <c r="A69" s="6"/>
      <c r="B69" s="54" t="s">
        <v>34</v>
      </c>
      <c r="C69" s="12"/>
      <c r="D69" s="13"/>
      <c r="E69" s="16"/>
      <c r="F69" s="13"/>
      <c r="G69" s="17" t="s">
        <v>2</v>
      </c>
    </row>
    <row r="70" spans="1:8" s="4" customFormat="1" ht="13.5" customHeight="1" x14ac:dyDescent="0.2">
      <c r="B70" s="136"/>
      <c r="C70" s="136"/>
      <c r="D70" s="102"/>
      <c r="E70" s="66"/>
      <c r="F70" s="60"/>
      <c r="G70" s="154"/>
    </row>
    <row r="71" spans="1:8" s="6" customFormat="1" ht="13.5" customHeight="1" x14ac:dyDescent="0.25">
      <c r="A71" s="4"/>
      <c r="B71" s="81"/>
      <c r="C71" s="81"/>
      <c r="D71" s="84" t="s">
        <v>1</v>
      </c>
      <c r="E71" s="62"/>
      <c r="F71" s="63"/>
      <c r="G71" s="64">
        <f>SUM(G70)</f>
        <v>0</v>
      </c>
    </row>
    <row r="72" spans="1:8" s="6" customFormat="1" ht="17.25" customHeight="1" x14ac:dyDescent="0.2">
      <c r="B72" s="3"/>
      <c r="C72" s="3"/>
      <c r="D72" s="7"/>
      <c r="E72" s="15"/>
      <c r="G72" s="18"/>
    </row>
    <row r="73" spans="1:8" s="4" customFormat="1" ht="15" customHeight="1" x14ac:dyDescent="0.25">
      <c r="A73" s="6"/>
      <c r="B73" s="55" t="s">
        <v>3</v>
      </c>
      <c r="C73" s="21"/>
      <c r="D73" s="22"/>
      <c r="E73" s="23"/>
      <c r="F73" s="22"/>
      <c r="G73" s="24">
        <f>G26+G38+G43+G48+G55+G61+G67+G71</f>
        <v>0</v>
      </c>
    </row>
    <row r="74" spans="1:8" s="4" customFormat="1" ht="6" customHeight="1" x14ac:dyDescent="0.2">
      <c r="B74" s="3"/>
      <c r="C74" s="3"/>
      <c r="E74" s="14"/>
      <c r="G74" s="20"/>
    </row>
    <row r="75" spans="1:8" s="4" customFormat="1" ht="12.75" x14ac:dyDescent="0.2">
      <c r="B75" s="113" t="s">
        <v>60</v>
      </c>
      <c r="C75" s="11"/>
      <c r="D75" s="8"/>
      <c r="E75" s="14"/>
      <c r="G75" s="24">
        <f>G73*0.1</f>
        <v>0</v>
      </c>
    </row>
    <row r="76" spans="1:8" s="4" customFormat="1" ht="6" customHeight="1" x14ac:dyDescent="0.2">
      <c r="B76" s="3"/>
      <c r="C76" s="3"/>
      <c r="E76" s="14"/>
      <c r="G76" s="5"/>
    </row>
    <row r="77" spans="1:8" s="4" customFormat="1" ht="27.75" customHeight="1" x14ac:dyDescent="0.25">
      <c r="B77" s="165" t="s">
        <v>111</v>
      </c>
      <c r="C77" s="26"/>
      <c r="D77" s="27"/>
      <c r="E77" s="28"/>
      <c r="F77" s="27"/>
      <c r="G77" s="50">
        <f>IFERROR('Rates and Calcs'!E11,0)</f>
        <v>0</v>
      </c>
    </row>
    <row r="78" spans="1:8" ht="21.75" customHeight="1" x14ac:dyDescent="0.25">
      <c r="A78" s="4"/>
      <c r="B78" s="25" t="s">
        <v>107</v>
      </c>
      <c r="C78" s="26"/>
      <c r="D78" s="27"/>
      <c r="E78" s="28"/>
      <c r="F78" s="27"/>
      <c r="G78" s="50">
        <f>G75+G73</f>
        <v>0</v>
      </c>
      <c r="H78" s="4"/>
    </row>
    <row r="79" spans="1:8" ht="21.75" customHeight="1" x14ac:dyDescent="0.25">
      <c r="A79" s="4"/>
      <c r="B79" s="25" t="s">
        <v>71</v>
      </c>
      <c r="C79" s="26"/>
      <c r="D79" s="27"/>
      <c r="E79" s="28"/>
      <c r="F79" s="27"/>
      <c r="G79" s="50">
        <f>SUM(G80:G81)</f>
        <v>0</v>
      </c>
      <c r="H79" s="4"/>
    </row>
    <row r="80" spans="1:8" ht="22.5" customHeight="1" x14ac:dyDescent="0.25">
      <c r="A80" s="4"/>
      <c r="B80" s="120" t="s">
        <v>70</v>
      </c>
      <c r="C80" s="26"/>
      <c r="D80" s="27"/>
      <c r="E80" s="28"/>
      <c r="F80" s="27"/>
      <c r="G80" s="50">
        <f>(F31*D31)+(F35*D35)</f>
        <v>0</v>
      </c>
      <c r="H80" s="4"/>
    </row>
    <row r="81" spans="1:8" ht="22.5" customHeight="1" x14ac:dyDescent="0.25">
      <c r="A81" s="4"/>
      <c r="B81" s="120" t="s">
        <v>85</v>
      </c>
      <c r="C81" s="116"/>
      <c r="D81" s="117"/>
      <c r="E81" s="118"/>
      <c r="F81" s="117"/>
      <c r="G81" s="119">
        <f>G78*1</f>
        <v>0</v>
      </c>
      <c r="H81" s="4"/>
    </row>
    <row r="82" spans="1:8" s="29" customFormat="1" ht="13.5" customHeight="1" x14ac:dyDescent="0.2">
      <c r="B82" s="251" t="s">
        <v>79</v>
      </c>
      <c r="C82" s="252"/>
      <c r="D82" s="252"/>
      <c r="E82" s="252"/>
      <c r="F82" s="252"/>
      <c r="G82" s="252"/>
      <c r="H82" s="4"/>
    </row>
    <row r="83" spans="1:8" s="29" customFormat="1" ht="16.5" customHeight="1" x14ac:dyDescent="0.2">
      <c r="B83" s="53"/>
      <c r="C83" s="45"/>
      <c r="D83" s="45"/>
      <c r="E83" s="45"/>
      <c r="F83" s="45"/>
      <c r="G83" s="45"/>
      <c r="H83" s="4"/>
    </row>
    <row r="84" spans="1:8" s="10" customFormat="1" ht="14.65" customHeight="1" x14ac:dyDescent="0.2">
      <c r="A84" s="29"/>
      <c r="B84" s="30"/>
      <c r="C84" s="31"/>
      <c r="D84" s="31"/>
      <c r="E84" s="32"/>
      <c r="F84" s="31"/>
      <c r="G84" s="33"/>
      <c r="H84" s="4"/>
    </row>
    <row r="85" spans="1:8" s="10" customFormat="1" ht="6" customHeight="1" x14ac:dyDescent="0.2">
      <c r="A85" s="34"/>
      <c r="B85" s="34"/>
      <c r="C85" s="34"/>
      <c r="D85" s="34"/>
      <c r="E85" s="44"/>
      <c r="F85" s="34"/>
      <c r="G85" s="47"/>
      <c r="H85" s="4"/>
    </row>
    <row r="86" spans="1:8" s="10" customFormat="1" ht="16.5" hidden="1" customHeight="1" x14ac:dyDescent="0.25">
      <c r="A86" s="35"/>
      <c r="B86" s="287" t="s">
        <v>10</v>
      </c>
      <c r="C86" s="287"/>
      <c r="D86" s="287"/>
      <c r="E86" s="287"/>
      <c r="F86" s="287"/>
      <c r="G86" s="287"/>
      <c r="H86" s="4"/>
    </row>
    <row r="87" spans="1:8" s="10" customFormat="1" ht="7.5" hidden="1" customHeight="1" x14ac:dyDescent="0.2">
      <c r="A87" s="34"/>
      <c r="B87" s="43"/>
      <c r="C87" s="43"/>
      <c r="D87" s="43"/>
      <c r="E87" s="43"/>
      <c r="F87" s="43"/>
      <c r="G87" s="43"/>
      <c r="H87" s="4"/>
    </row>
    <row r="88" spans="1:8" s="10" customFormat="1" ht="15" hidden="1" customHeight="1" x14ac:dyDescent="0.2">
      <c r="A88" s="34"/>
      <c r="B88" s="34" t="s">
        <v>9</v>
      </c>
      <c r="C88" s="34"/>
      <c r="D88" s="41">
        <f>G78</f>
        <v>0</v>
      </c>
      <c r="E88" s="44"/>
      <c r="F88" s="34"/>
      <c r="G88" s="46"/>
      <c r="H88" s="4"/>
    </row>
    <row r="89" spans="1:8" s="10" customFormat="1" ht="21" hidden="1" customHeight="1" x14ac:dyDescent="0.2">
      <c r="A89" s="34"/>
      <c r="B89" s="34" t="s">
        <v>20</v>
      </c>
      <c r="C89" s="34"/>
      <c r="D89" s="42">
        <f>D88*1</f>
        <v>0</v>
      </c>
      <c r="E89" s="44"/>
      <c r="F89" s="34"/>
      <c r="G89" s="46"/>
      <c r="H89" s="4"/>
    </row>
    <row r="90" spans="1:8" s="10" customFormat="1" ht="12.75" x14ac:dyDescent="0.2">
      <c r="A90" s="34"/>
      <c r="B90" s="34"/>
      <c r="C90" s="34"/>
      <c r="D90" s="34"/>
      <c r="E90" s="44"/>
      <c r="F90" s="34"/>
      <c r="G90" s="46"/>
      <c r="H90" s="4"/>
    </row>
    <row r="91" spans="1:8" s="4" customFormat="1" ht="31.5" customHeight="1" x14ac:dyDescent="0.25">
      <c r="A91" s="34"/>
      <c r="B91" s="25" t="s">
        <v>80</v>
      </c>
      <c r="C91" s="26"/>
      <c r="D91" s="27"/>
      <c r="E91" s="28"/>
      <c r="F91" s="27"/>
      <c r="G91" s="50"/>
    </row>
    <row r="92" spans="1:8" s="4" customFormat="1" ht="14.25" x14ac:dyDescent="0.2">
      <c r="A92" s="34"/>
      <c r="B92" s="284" t="s">
        <v>84</v>
      </c>
      <c r="C92" s="285"/>
      <c r="D92" s="285"/>
      <c r="E92" s="285"/>
      <c r="F92" s="285"/>
      <c r="G92" s="286"/>
    </row>
    <row r="93" spans="1:8" s="4" customFormat="1" ht="14.25" x14ac:dyDescent="0.2">
      <c r="A93" s="34"/>
      <c r="B93" s="281" t="s">
        <v>30</v>
      </c>
      <c r="C93" s="282"/>
      <c r="D93" s="282"/>
      <c r="E93" s="282"/>
      <c r="F93" s="282"/>
      <c r="G93" s="283"/>
    </row>
    <row r="94" spans="1:8" s="4" customFormat="1" ht="8.65" customHeight="1" x14ac:dyDescent="0.2">
      <c r="A94" s="34"/>
      <c r="B94" s="96"/>
      <c r="C94" s="96"/>
      <c r="D94" s="96"/>
      <c r="E94" s="96"/>
      <c r="F94" s="96"/>
      <c r="G94" s="96"/>
    </row>
    <row r="95" spans="1:8" s="4" customFormat="1" ht="4.5" customHeight="1" x14ac:dyDescent="0.25">
      <c r="A95" s="34"/>
      <c r="B95" s="87"/>
      <c r="C95" s="87"/>
      <c r="D95" s="87"/>
      <c r="E95" s="87"/>
      <c r="F95" s="87"/>
      <c r="G95" s="87"/>
    </row>
    <row r="96" spans="1:8" s="4" customFormat="1" ht="15.4" customHeight="1" x14ac:dyDescent="0.2">
      <c r="A96" s="34">
        <v>1</v>
      </c>
      <c r="B96" s="288" t="s">
        <v>42</v>
      </c>
      <c r="C96" s="255"/>
      <c r="D96" s="255"/>
      <c r="E96" s="255"/>
      <c r="F96" s="255"/>
      <c r="G96" s="256"/>
    </row>
    <row r="97" spans="1:7" s="4" customFormat="1" ht="16.149999999999999" customHeight="1" x14ac:dyDescent="0.2">
      <c r="A97" s="35"/>
      <c r="B97" s="98" t="s">
        <v>57</v>
      </c>
      <c r="C97" s="99"/>
      <c r="D97" s="104"/>
      <c r="E97" s="255" t="s">
        <v>59</v>
      </c>
      <c r="F97" s="255"/>
      <c r="G97" s="256"/>
    </row>
    <row r="98" spans="1:7" s="4" customFormat="1" ht="24.4" customHeight="1" x14ac:dyDescent="0.2">
      <c r="A98" s="35"/>
      <c r="B98" s="289" t="s">
        <v>83</v>
      </c>
      <c r="C98" s="262"/>
      <c r="D98" s="290"/>
      <c r="E98" s="261" t="s">
        <v>56</v>
      </c>
      <c r="F98" s="262"/>
      <c r="G98" s="263"/>
    </row>
    <row r="99" spans="1:7" s="4" customFormat="1" ht="20.65" customHeight="1" x14ac:dyDescent="0.2">
      <c r="A99" s="35"/>
      <c r="B99" s="97" t="s">
        <v>43</v>
      </c>
      <c r="C99" s="264"/>
      <c r="D99" s="265"/>
      <c r="E99" s="103" t="s">
        <v>45</v>
      </c>
      <c r="F99" s="257"/>
      <c r="G99" s="258"/>
    </row>
    <row r="100" spans="1:7" s="4" customFormat="1" ht="20.65" customHeight="1" x14ac:dyDescent="0.2">
      <c r="A100" s="35"/>
      <c r="B100" s="97"/>
      <c r="C100" s="266"/>
      <c r="D100" s="267"/>
      <c r="E100" s="103" t="s">
        <v>46</v>
      </c>
      <c r="F100" s="257"/>
      <c r="G100" s="258"/>
    </row>
    <row r="101" spans="1:7" s="4" customFormat="1" ht="20.65" customHeight="1" x14ac:dyDescent="0.2">
      <c r="A101" s="35"/>
      <c r="B101" s="97" t="s">
        <v>52</v>
      </c>
      <c r="C101" s="247"/>
      <c r="D101" s="248"/>
      <c r="E101" s="103" t="s">
        <v>44</v>
      </c>
      <c r="F101" s="259"/>
      <c r="G101" s="260"/>
    </row>
    <row r="102" spans="1:7" s="4" customFormat="1" ht="20.65" customHeight="1" x14ac:dyDescent="0.2">
      <c r="A102" s="35"/>
      <c r="B102" s="97" t="s">
        <v>44</v>
      </c>
      <c r="C102" s="249"/>
      <c r="D102" s="250"/>
      <c r="E102" s="103" t="s">
        <v>53</v>
      </c>
      <c r="F102" s="257"/>
      <c r="G102" s="258"/>
    </row>
    <row r="103" spans="1:7" s="4" customFormat="1" ht="12.75" x14ac:dyDescent="0.2">
      <c r="A103" s="35"/>
      <c r="B103" s="159" t="s">
        <v>50</v>
      </c>
      <c r="C103" s="272" t="s">
        <v>54</v>
      </c>
      <c r="D103" s="273"/>
      <c r="E103" s="160" t="s">
        <v>51</v>
      </c>
      <c r="F103" s="272" t="s">
        <v>55</v>
      </c>
      <c r="G103" s="294"/>
    </row>
    <row r="104" spans="1:7" s="4" customFormat="1" ht="15.75" customHeight="1" x14ac:dyDescent="0.2">
      <c r="A104" s="35"/>
      <c r="B104" s="60"/>
      <c r="C104" s="60"/>
      <c r="D104" s="60"/>
      <c r="E104" s="60"/>
      <c r="F104" s="60"/>
      <c r="G104" s="60"/>
    </row>
    <row r="105" spans="1:7" s="4" customFormat="1" ht="15.75" customHeight="1" x14ac:dyDescent="0.2">
      <c r="A105" s="34">
        <v>2</v>
      </c>
      <c r="B105" s="288" t="s">
        <v>47</v>
      </c>
      <c r="C105" s="255"/>
      <c r="D105" s="255"/>
      <c r="E105" s="255"/>
      <c r="F105" s="255"/>
      <c r="G105" s="256"/>
    </row>
    <row r="106" spans="1:7" s="4" customFormat="1" ht="16.149999999999999" customHeight="1" x14ac:dyDescent="0.2">
      <c r="A106" s="35"/>
      <c r="B106" s="98" t="s">
        <v>57</v>
      </c>
      <c r="C106" s="99"/>
      <c r="D106" s="104"/>
      <c r="E106" s="255" t="s">
        <v>59</v>
      </c>
      <c r="F106" s="255"/>
      <c r="G106" s="256"/>
    </row>
    <row r="107" spans="1:7" s="4" customFormat="1" ht="25.15" customHeight="1" x14ac:dyDescent="0.2">
      <c r="A107" s="35"/>
      <c r="B107" s="289" t="s">
        <v>83</v>
      </c>
      <c r="C107" s="262"/>
      <c r="D107" s="290"/>
      <c r="E107" s="261" t="s">
        <v>56</v>
      </c>
      <c r="F107" s="262"/>
      <c r="G107" s="263"/>
    </row>
    <row r="108" spans="1:7" s="4" customFormat="1" ht="20.65" customHeight="1" x14ac:dyDescent="0.2">
      <c r="A108" s="35"/>
      <c r="B108" s="97" t="s">
        <v>43</v>
      </c>
      <c r="C108" s="296"/>
      <c r="D108" s="265"/>
      <c r="E108" s="103" t="s">
        <v>45</v>
      </c>
      <c r="F108" s="247"/>
      <c r="G108" s="258"/>
    </row>
    <row r="109" spans="1:7" s="4" customFormat="1" ht="20.65" customHeight="1" x14ac:dyDescent="0.2">
      <c r="A109" s="35"/>
      <c r="B109" s="97"/>
      <c r="C109" s="266"/>
      <c r="D109" s="267"/>
      <c r="E109" s="103" t="s">
        <v>46</v>
      </c>
      <c r="F109" s="247"/>
      <c r="G109" s="258"/>
    </row>
    <row r="110" spans="1:7" s="4" customFormat="1" ht="20.65" customHeight="1" x14ac:dyDescent="0.2">
      <c r="A110" s="35"/>
      <c r="B110" s="97" t="s">
        <v>52</v>
      </c>
      <c r="C110" s="297"/>
      <c r="D110" s="298"/>
      <c r="E110" s="103" t="s">
        <v>44</v>
      </c>
      <c r="F110" s="259"/>
      <c r="G110" s="260"/>
    </row>
    <row r="111" spans="1:7" s="4" customFormat="1" ht="20.65" customHeight="1" x14ac:dyDescent="0.2">
      <c r="A111" s="35"/>
      <c r="B111" s="97" t="s">
        <v>44</v>
      </c>
      <c r="C111" s="249"/>
      <c r="D111" s="250"/>
      <c r="E111" s="103" t="s">
        <v>53</v>
      </c>
      <c r="F111" s="247"/>
      <c r="G111" s="258"/>
    </row>
    <row r="112" spans="1:7" s="4" customFormat="1" ht="12.75" x14ac:dyDescent="0.2">
      <c r="A112" s="35"/>
      <c r="B112" s="159" t="s">
        <v>50</v>
      </c>
      <c r="C112" s="272" t="s">
        <v>49</v>
      </c>
      <c r="D112" s="273"/>
      <c r="E112" s="160" t="s">
        <v>51</v>
      </c>
      <c r="F112" s="272" t="s">
        <v>55</v>
      </c>
      <c r="G112" s="294"/>
    </row>
    <row r="114" spans="1:7" s="4" customFormat="1" ht="15.75" customHeight="1" x14ac:dyDescent="0.2">
      <c r="A114" s="34">
        <v>3</v>
      </c>
      <c r="B114" s="288" t="s">
        <v>48</v>
      </c>
      <c r="C114" s="255"/>
      <c r="D114" s="255"/>
      <c r="E114" s="255"/>
      <c r="F114" s="255"/>
      <c r="G114" s="256"/>
    </row>
    <row r="115" spans="1:7" s="4" customFormat="1" ht="16.149999999999999" customHeight="1" x14ac:dyDescent="0.2">
      <c r="A115" s="35"/>
      <c r="B115" s="98" t="s">
        <v>57</v>
      </c>
      <c r="C115" s="99"/>
      <c r="D115" s="104"/>
      <c r="E115" s="255" t="s">
        <v>59</v>
      </c>
      <c r="F115" s="255"/>
      <c r="G115" s="256"/>
    </row>
    <row r="116" spans="1:7" s="4" customFormat="1" ht="25.5" customHeight="1" x14ac:dyDescent="0.2">
      <c r="A116" s="35"/>
      <c r="B116" s="289" t="s">
        <v>83</v>
      </c>
      <c r="C116" s="262"/>
      <c r="D116" s="290"/>
      <c r="E116" s="261" t="s">
        <v>56</v>
      </c>
      <c r="F116" s="262"/>
      <c r="G116" s="263"/>
    </row>
    <row r="117" spans="1:7" s="4" customFormat="1" ht="20.65" customHeight="1" x14ac:dyDescent="0.2">
      <c r="A117" s="35"/>
      <c r="B117" s="97" t="s">
        <v>43</v>
      </c>
      <c r="C117" s="296"/>
      <c r="D117" s="265"/>
      <c r="E117" s="103" t="s">
        <v>45</v>
      </c>
      <c r="F117" s="247"/>
      <c r="G117" s="258"/>
    </row>
    <row r="118" spans="1:7" s="4" customFormat="1" ht="20.65" customHeight="1" x14ac:dyDescent="0.2">
      <c r="A118" s="35"/>
      <c r="B118" s="97"/>
      <c r="C118" s="266"/>
      <c r="D118" s="267"/>
      <c r="E118" s="103" t="s">
        <v>46</v>
      </c>
      <c r="F118" s="257"/>
      <c r="G118" s="258"/>
    </row>
    <row r="119" spans="1:7" s="4" customFormat="1" ht="20.65" customHeight="1" x14ac:dyDescent="0.2">
      <c r="A119" s="35"/>
      <c r="B119" s="97" t="s">
        <v>52</v>
      </c>
      <c r="C119" s="257"/>
      <c r="D119" s="248"/>
      <c r="E119" s="103" t="s">
        <v>44</v>
      </c>
      <c r="F119" s="259"/>
      <c r="G119" s="260"/>
    </row>
    <row r="120" spans="1:7" s="4" customFormat="1" ht="20.65" customHeight="1" x14ac:dyDescent="0.2">
      <c r="A120" s="35"/>
      <c r="B120" s="97" t="s">
        <v>44</v>
      </c>
      <c r="C120" s="259"/>
      <c r="D120" s="295"/>
      <c r="E120" s="103" t="s">
        <v>53</v>
      </c>
      <c r="F120" s="257"/>
      <c r="G120" s="258"/>
    </row>
    <row r="121" spans="1:7" s="4" customFormat="1" ht="12.75" x14ac:dyDescent="0.2">
      <c r="A121" s="35"/>
      <c r="B121" s="159" t="s">
        <v>50</v>
      </c>
      <c r="C121" s="272" t="s">
        <v>49</v>
      </c>
      <c r="D121" s="273"/>
      <c r="E121" s="160" t="s">
        <v>51</v>
      </c>
      <c r="F121" s="272" t="s">
        <v>55</v>
      </c>
      <c r="G121" s="294"/>
    </row>
  </sheetData>
  <sheetProtection password="CABB" sheet="1" objects="1" scenarios="1" selectLockedCells="1"/>
  <mergeCells count="58">
    <mergeCell ref="F103:G103"/>
    <mergeCell ref="F110:G110"/>
    <mergeCell ref="C111:D111"/>
    <mergeCell ref="F111:G111"/>
    <mergeCell ref="C108:D109"/>
    <mergeCell ref="B105:G105"/>
    <mergeCell ref="E106:G106"/>
    <mergeCell ref="E107:G107"/>
    <mergeCell ref="F108:G108"/>
    <mergeCell ref="B107:D107"/>
    <mergeCell ref="C110:D110"/>
    <mergeCell ref="F109:G109"/>
    <mergeCell ref="F121:G121"/>
    <mergeCell ref="C112:D112"/>
    <mergeCell ref="F118:G118"/>
    <mergeCell ref="C119:D119"/>
    <mergeCell ref="F119:G119"/>
    <mergeCell ref="C120:D120"/>
    <mergeCell ref="F120:G120"/>
    <mergeCell ref="B114:G114"/>
    <mergeCell ref="E115:G115"/>
    <mergeCell ref="E116:G116"/>
    <mergeCell ref="F117:G117"/>
    <mergeCell ref="B116:D116"/>
    <mergeCell ref="C121:D121"/>
    <mergeCell ref="C117:D118"/>
    <mergeCell ref="F112:G112"/>
    <mergeCell ref="B1:G1"/>
    <mergeCell ref="B2:G2"/>
    <mergeCell ref="B50:C50"/>
    <mergeCell ref="C103:D103"/>
    <mergeCell ref="A3:G3"/>
    <mergeCell ref="D38:E38"/>
    <mergeCell ref="E51:F51"/>
    <mergeCell ref="B93:G93"/>
    <mergeCell ref="B92:G92"/>
    <mergeCell ref="B86:G86"/>
    <mergeCell ref="B96:G96"/>
    <mergeCell ref="B98:D98"/>
    <mergeCell ref="C40:D40"/>
    <mergeCell ref="C41:D41"/>
    <mergeCell ref="C42:D42"/>
    <mergeCell ref="A4:G4"/>
    <mergeCell ref="C102:D102"/>
    <mergeCell ref="B82:G82"/>
    <mergeCell ref="D54:F54"/>
    <mergeCell ref="E97:G97"/>
    <mergeCell ref="F99:G99"/>
    <mergeCell ref="F101:G101"/>
    <mergeCell ref="F102:G102"/>
    <mergeCell ref="E98:G98"/>
    <mergeCell ref="F100:G100"/>
    <mergeCell ref="C99:D100"/>
    <mergeCell ref="C6:E6"/>
    <mergeCell ref="C46:D46"/>
    <mergeCell ref="C47:D47"/>
    <mergeCell ref="C45:D45"/>
    <mergeCell ref="C101:D101"/>
  </mergeCells>
  <phoneticPr fontId="0" type="noConversion"/>
  <conditionalFormatting sqref="G78">
    <cfRule type="expression" dxfId="16" priority="25">
      <formula>$G$78&gt;$G$77</formula>
    </cfRule>
  </conditionalFormatting>
  <conditionalFormatting sqref="D29:D30 D34">
    <cfRule type="expression" dxfId="15" priority="24">
      <formula>$D$30+$D$34&gt;1</formula>
    </cfRule>
  </conditionalFormatting>
  <pageMargins left="0.25" right="0.25" top="1" bottom="1" header="0.3" footer="0.3"/>
  <pageSetup scale="56" fitToHeight="2" orientation="portrait" r:id="rId1"/>
  <headerFooter alignWithMargins="0">
    <oddFooter>&amp;C&amp;D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85" r:id="rId4" name="Check Box 461">
              <controlPr defaultSize="0" autoFill="0" autoLine="0" autoPict="0">
                <anchor moveWithCells="1">
                  <from>
                    <xdr:col>5</xdr:col>
                    <xdr:colOff>238125</xdr:colOff>
                    <xdr:row>64</xdr:row>
                    <xdr:rowOff>104775</xdr:rowOff>
                  </from>
                  <to>
                    <xdr:col>5</xdr:col>
                    <xdr:colOff>1181100</xdr:colOff>
                    <xdr:row>66</xdr:row>
                    <xdr:rowOff>95250</xdr:rowOff>
                  </to>
                </anchor>
              </controlPr>
            </control>
          </mc:Choice>
        </mc:AlternateContent>
        <mc:AlternateContent xmlns:mc="http://schemas.openxmlformats.org/markup-compatibility/2006">
          <mc:Choice Requires="x14">
            <control shapeId="1487" r:id="rId5" name="Drop Down 463">
              <controlPr defaultSize="0" autoLine="0" autoPict="0">
                <anchor moveWithCells="1">
                  <from>
                    <xdr:col>2</xdr:col>
                    <xdr:colOff>0</xdr:colOff>
                    <xdr:row>29</xdr:row>
                    <xdr:rowOff>0</xdr:rowOff>
                  </from>
                  <to>
                    <xdr:col>3</xdr:col>
                    <xdr:colOff>9525</xdr:colOff>
                    <xdr:row>30</xdr:row>
                    <xdr:rowOff>0</xdr:rowOff>
                  </to>
                </anchor>
              </controlPr>
            </control>
          </mc:Choice>
        </mc:AlternateContent>
        <mc:AlternateContent xmlns:mc="http://schemas.openxmlformats.org/markup-compatibility/2006">
          <mc:Choice Requires="x14">
            <control shapeId="1488" r:id="rId6" name="Drop Down 464">
              <controlPr defaultSize="0" autoLine="0" autoPict="0">
                <anchor moveWithCells="1">
                  <from>
                    <xdr:col>2</xdr:col>
                    <xdr:colOff>0</xdr:colOff>
                    <xdr:row>32</xdr:row>
                    <xdr:rowOff>180975</xdr:rowOff>
                  </from>
                  <to>
                    <xdr:col>3</xdr:col>
                    <xdr:colOff>0</xdr:colOff>
                    <xdr:row>34</xdr:row>
                    <xdr:rowOff>0</xdr:rowOff>
                  </to>
                </anchor>
              </controlPr>
            </control>
          </mc:Choice>
        </mc:AlternateContent>
        <mc:AlternateContent xmlns:mc="http://schemas.openxmlformats.org/markup-compatibility/2006">
          <mc:Choice Requires="x14">
            <control shapeId="1489" r:id="rId7" name="Drop Down 465">
              <controlPr defaultSize="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490" r:id="rId8" name="Drop Down 466">
              <controlPr defaultSize="0" autoLine="0" autoPict="0">
                <anchor moveWithCells="1">
                  <from>
                    <xdr:col>2</xdr:col>
                    <xdr:colOff>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1491" r:id="rId9" name="Drop Down 467">
              <controlPr defaultSize="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492" r:id="rId10" name="Drop Down 468">
              <controlPr defaultSize="0" autoLine="0" autoPict="0">
                <anchor moveWithCells="1">
                  <from>
                    <xdr:col>3</xdr:col>
                    <xdr:colOff>2019300</xdr:colOff>
                    <xdr:row>20</xdr:row>
                    <xdr:rowOff>0</xdr:rowOff>
                  </from>
                  <to>
                    <xdr:col>4</xdr:col>
                    <xdr:colOff>2847975</xdr:colOff>
                    <xdr:row>21</xdr:row>
                    <xdr:rowOff>0</xdr:rowOff>
                  </to>
                </anchor>
              </controlPr>
            </control>
          </mc:Choice>
        </mc:AlternateContent>
        <mc:AlternateContent xmlns:mc="http://schemas.openxmlformats.org/markup-compatibility/2006">
          <mc:Choice Requires="x14">
            <control shapeId="1493" r:id="rId11" name="Drop Down 469">
              <controlPr defaultSize="0" autoLine="0" autoPict="0">
                <anchor moveWithCells="1">
                  <from>
                    <xdr:col>4</xdr:col>
                    <xdr:colOff>0</xdr:colOff>
                    <xdr:row>21</xdr:row>
                    <xdr:rowOff>0</xdr:rowOff>
                  </from>
                  <to>
                    <xdr:col>4</xdr:col>
                    <xdr:colOff>2847975</xdr:colOff>
                    <xdr:row>22</xdr:row>
                    <xdr:rowOff>0</xdr:rowOff>
                  </to>
                </anchor>
              </controlPr>
            </control>
          </mc:Choice>
        </mc:AlternateContent>
        <mc:AlternateContent xmlns:mc="http://schemas.openxmlformats.org/markup-compatibility/2006">
          <mc:Choice Requires="x14">
            <control shapeId="1494" r:id="rId12" name="Drop Down 470">
              <controlPr defaultSize="0" autoLine="0" autoPict="0">
                <anchor moveWithCells="1">
                  <from>
                    <xdr:col>4</xdr:col>
                    <xdr:colOff>0</xdr:colOff>
                    <xdr:row>21</xdr:row>
                    <xdr:rowOff>180975</xdr:rowOff>
                  </from>
                  <to>
                    <xdr:col>4</xdr:col>
                    <xdr:colOff>2847975</xdr:colOff>
                    <xdr:row>23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154FB7F3-AC01-4934-8A91-4BBA38C4C3AB}">
            <xm:f>'Rates and Calcs'!$B$9=MAX('Rates and Calcs'!A16:A28)</xm:f>
            <x14:dxf>
              <font>
                <color auto="1"/>
              </font>
            </x14:dxf>
          </x14:cfRule>
          <xm:sqref>B31:B33</xm:sqref>
        </x14:conditionalFormatting>
        <x14:conditionalFormatting xmlns:xm="http://schemas.microsoft.com/office/excel/2006/main">
          <x14:cfRule type="expression" priority="31" id="{299590AF-798D-4760-A6C0-0E89F6A8A8AE}">
            <xm:f>'Rates and Calcs'!$B$9&lt;&gt;13</xm:f>
            <x14:dxf>
              <font>
                <color theme="0"/>
              </font>
            </x14:dxf>
          </x14:cfRule>
          <x14:cfRule type="expression" priority="30" id="{69642989-7CDE-4FF6-8CE3-5D6641E19033}">
            <xm:f>'Rates and Calcs'!$B$9=MAX('Rates and Calcs'!$A$16:$A$28)</xm:f>
            <x14:dxf>
              <font>
                <color auto="1"/>
              </font>
              <fill>
                <patternFill>
                  <bgColor rgb="FFCCFFFF"/>
                </patternFill>
              </fill>
            </x14:dxf>
          </x14:cfRule>
          <xm:sqref>C31:C33</xm:sqref>
        </x14:conditionalFormatting>
        <x14:conditionalFormatting xmlns:xm="http://schemas.microsoft.com/office/excel/2006/main">
          <x14:cfRule type="expression" priority="28" id="{9F76CBD7-F13E-4711-87A2-50C8B192077B}">
            <xm:f>'Rates and Calcs'!$B$10=MAX('Rates and Calcs'!$A$16:$A$28)</xm:f>
            <x14:dxf>
              <font>
                <color auto="1"/>
              </font>
              <fill>
                <patternFill>
                  <bgColor rgb="FFCCFFFF"/>
                </patternFill>
              </fill>
            </x14:dxf>
          </x14:cfRule>
          <x14:cfRule type="expression" priority="29" id="{C487AEB7-D854-4708-A7BC-DC4A7A02A69C}">
            <xm:f>'Rates and Calcs'!$B$10&lt;&gt;MAX('Rates and Calcs'!A16:A28)</xm:f>
            <x14:dxf>
              <font>
                <color theme="0"/>
              </font>
            </x14:dxf>
          </x14:cfRule>
          <xm:sqref>C35:C37</xm:sqref>
        </x14:conditionalFormatting>
        <x14:conditionalFormatting xmlns:xm="http://schemas.microsoft.com/office/excel/2006/main">
          <x14:cfRule type="expression" priority="6" id="{7E2E145C-81DB-40DD-A11E-85198D72ABF1}">
            <xm:f>AND($G21&lt;&gt;0,OR('Rates and Calcs'!$B6=1,'Rates and Calcs'!$G6=1))</xm:f>
            <x14:dxf>
              <font>
                <color theme="1"/>
              </font>
              <fill>
                <patternFill>
                  <bgColor rgb="FFFFFF00"/>
                </patternFill>
              </fill>
            </x14:dxf>
          </x14:cfRule>
          <x14:cfRule type="expression" priority="9" id="{D9F47D40-2934-42F6-930E-800DCE5AEBDF}">
            <xm:f>OR($G21=0,AND('Rates and Calcs'!$B$6&lt;&gt;1,'Rates and Calcs'!$G$6&lt;&gt;1))</xm:f>
            <x14:dxf>
              <font>
                <color theme="0"/>
              </font>
              <fill>
                <patternFill patternType="none">
                  <bgColor auto="1"/>
                </patternFill>
              </fill>
            </x14:dxf>
          </x14:cfRule>
          <x14:cfRule type="expression" priority="10" id="{24B5A640-6DB0-4592-8AAB-AD60767139AD}">
            <xm:f>OR($G22=0,AND('Rates and Calcs'!$B$7&lt;&gt;1,'Rates and Calcs'!$G$7&lt;&gt;1))</xm:f>
            <x14:dxf>
              <font>
                <color theme="0"/>
              </font>
            </x14:dxf>
          </x14:cfRule>
          <x14:cfRule type="expression" priority="11" id="{0BCBA8EC-25BF-49BB-A678-26CB00CD15C7}">
            <xm:f>OR($G23=0,AND('Rates and Calcs'!$B$8&lt;&gt;1,'Rates and Calcs'!$G$8&lt;&gt;1))</xm:f>
            <x14:dxf>
              <font>
                <color theme="0"/>
              </font>
            </x14:dxf>
          </x14:cfRule>
          <x14:cfRule type="expression" priority="7" id="{B90416FD-F3F8-44FF-8EAA-EBAE4748F698}">
            <xm:f>AND($G22&lt;&gt;0,OR('Rates and Calcs'!$B7=1,'Rates and Calcs'!$G7=1))</xm:f>
            <x14:dxf>
              <font>
                <color theme="1"/>
              </font>
              <fill>
                <patternFill>
                  <bgColor rgb="FFFFFF00"/>
                </patternFill>
              </fill>
            </x14:dxf>
          </x14:cfRule>
          <x14:cfRule type="expression" priority="8" id="{CED50A02-4279-4B68-892F-24E842E17405}">
            <xm:f>AND($G23&lt;&gt;0,OR('Rates and Calcs'!$B8=1,'Rates and Calcs'!$G8=1))</xm:f>
            <x14:dxf>
              <font>
                <color theme="1"/>
              </font>
              <fill>
                <patternFill>
                  <bgColor rgb="FFFFFF00"/>
                </patternFill>
              </fill>
            </x14:dxf>
          </x14:cfRule>
          <xm:sqref>F19:G19</xm:sqref>
        </x14:conditionalFormatting>
        <x14:conditionalFormatting xmlns:xm="http://schemas.microsoft.com/office/excel/2006/main">
          <x14:cfRule type="expression" priority="4" id="{69BF6A9E-F217-47B6-B5F8-CCD243140444}">
            <xm:f>AND('Rates and Calcs'!$B$9&gt;MIN('Rates and Calcs'!$A$16:$A$28),'Rates and Calcs'!$B$9&lt;MAX('Rates and Calcs'!$A$16:$A$28))</xm:f>
            <x14:dxf>
              <font>
                <color theme="1"/>
              </font>
              <fill>
                <patternFill>
                  <bgColor rgb="FFCCFFFF"/>
                </patternFill>
              </fill>
            </x14:dxf>
          </x14:cfRule>
          <xm:sqref>C32</xm:sqref>
        </x14:conditionalFormatting>
        <x14:conditionalFormatting xmlns:xm="http://schemas.microsoft.com/office/excel/2006/main">
          <x14:cfRule type="expression" priority="3" id="{5514B198-8813-4651-9991-4820C141DABE}">
            <xm:f>'Rates and Calcs'!$B$9=MAX('Rates and Calcs'!A20:A32)</xm:f>
            <x14:dxf>
              <font>
                <color auto="1"/>
              </font>
            </x14:dxf>
          </x14:cfRule>
          <xm:sqref>B35:B37</xm:sqref>
        </x14:conditionalFormatting>
        <x14:conditionalFormatting xmlns:xm="http://schemas.microsoft.com/office/excel/2006/main">
          <x14:cfRule type="expression" priority="2" id="{92DD20C4-151A-4DDF-B2B2-CD46ED338F06}">
            <xm:f>AND('Rates and Calcs'!$B$10&gt;MIN('Rates and Calcs'!$A$16:$A$28),'Rates and Calcs'!$B$10&lt;MAX('Rates and Calcs'!$A$16:$A$28))</xm:f>
            <x14:dxf>
              <font>
                <color theme="1"/>
              </font>
              <fill>
                <patternFill>
                  <bgColor rgb="FFCCFFFF"/>
                </patternFill>
              </fill>
            </x14:dxf>
          </x14:cfRule>
          <xm:sqref>C36</xm:sqref>
        </x14:conditionalFormatting>
        <x14:conditionalFormatting xmlns:xm="http://schemas.microsoft.com/office/excel/2006/main">
          <x14:cfRule type="expression" priority="1" id="{011E3FF9-EDD5-4538-BEA5-292C8EE435A0}">
            <xm:f>AND('Rates and Calcs'!$B$9='Rates and Calcs'!$B$10,$C$32&lt;&gt;$C$36)</xm:f>
            <x14:dxf>
              <fill>
                <patternFill>
                  <bgColor rgb="FFFFFF00"/>
                </patternFill>
              </fill>
            </x14:dxf>
          </x14:cfRule>
          <xm:sqref>B38:C38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S80"/>
  <sheetViews>
    <sheetView workbookViewId="0">
      <selection activeCell="B69" sqref="B69:M80"/>
    </sheetView>
  </sheetViews>
  <sheetFormatPr defaultRowHeight="12.75" x14ac:dyDescent="0.2"/>
  <cols>
    <col min="1" max="1" width="12.42578125" customWidth="1"/>
    <col min="2" max="7" width="13" customWidth="1"/>
    <col min="8" max="9" width="18.140625" customWidth="1"/>
    <col min="10" max="10" width="17.5703125" customWidth="1"/>
    <col min="11" max="11" width="11.85546875" customWidth="1"/>
    <col min="12" max="12" width="10.85546875" customWidth="1"/>
    <col min="13" max="13" width="11.5703125" customWidth="1"/>
    <col min="15" max="15" width="10.28515625" bestFit="1" customWidth="1"/>
  </cols>
  <sheetData>
    <row r="4" spans="1:17" x14ac:dyDescent="0.2">
      <c r="A4" s="121" t="s">
        <v>97</v>
      </c>
      <c r="E4" s="121"/>
      <c r="H4" s="135" t="s">
        <v>131</v>
      </c>
    </row>
    <row r="5" spans="1:17" x14ac:dyDescent="0.2">
      <c r="A5" s="121"/>
      <c r="B5" s="125" t="s">
        <v>98</v>
      </c>
      <c r="C5" s="125" t="s">
        <v>99</v>
      </c>
      <c r="D5" s="125" t="s">
        <v>110</v>
      </c>
      <c r="E5" s="125" t="s">
        <v>135</v>
      </c>
      <c r="F5" s="174" t="s">
        <v>114</v>
      </c>
      <c r="G5" s="174" t="s">
        <v>160</v>
      </c>
      <c r="H5" s="121" t="s">
        <v>134</v>
      </c>
    </row>
    <row r="6" spans="1:17" x14ac:dyDescent="0.2">
      <c r="A6" s="121" t="s">
        <v>152</v>
      </c>
      <c r="B6">
        <v>1</v>
      </c>
      <c r="C6" s="122">
        <f>IF(OR(B6=1,G6&lt;&gt;4),0,IF(B6=MAX(A$16:A$28),(Budget!G21*(1+$F$14)*1.1)/MIN(M$17:M$27),(Budget!G21*(1+$F$14)*1.1)/VLOOKUP(B6,$A$16:$P$28,13,FALSE)))</f>
        <v>0</v>
      </c>
      <c r="D6" s="122" t="e">
        <f>C6/C$11</f>
        <v>#DIV/0!</v>
      </c>
      <c r="E6" s="129" t="e">
        <f>IF(B6=MAX(A$16:A$28),MIN(M$17:M$27),VLOOKUP(B6,$A$16:$M$28,13,FALSE))*D6</f>
        <v>#DIV/0!</v>
      </c>
      <c r="F6" s="129">
        <f>VLOOKUP(B6,$A$16:$M$28,12,FALSE)*C6</f>
        <v>0</v>
      </c>
      <c r="G6">
        <v>1</v>
      </c>
      <c r="H6" s="121" t="s">
        <v>133</v>
      </c>
    </row>
    <row r="7" spans="1:17" x14ac:dyDescent="0.2">
      <c r="A7" s="121" t="s">
        <v>153</v>
      </c>
      <c r="B7">
        <v>1</v>
      </c>
      <c r="C7" s="122">
        <f>IF(OR(B7=1,G7&lt;&gt;4),0,IF(B7=MAX(A$16:A$28),(Budget!G22*(1+$F$14)*1.1)/MIN(M$17:M$27),(Budget!G22*(1+$F$14)*1.1)/VLOOKUP(B7,$A$16:$P$28,13,FALSE)))</f>
        <v>0</v>
      </c>
      <c r="D7" s="122" t="e">
        <f>C7/C$11</f>
        <v>#DIV/0!</v>
      </c>
      <c r="E7" s="129" t="e">
        <f>IF(B7=MAX(A$16:A$28),MIN(M$17:M$27),VLOOKUP(B7,$A$16:$M$28,13,FALSE))*D7</f>
        <v>#DIV/0!</v>
      </c>
      <c r="F7" s="129">
        <f>VLOOKUP(B7,$A$16:$M$28,12,FALSE)*C7</f>
        <v>0</v>
      </c>
      <c r="G7">
        <v>1</v>
      </c>
      <c r="H7" s="121" t="s">
        <v>132</v>
      </c>
    </row>
    <row r="8" spans="1:17" x14ac:dyDescent="0.2">
      <c r="A8" s="121" t="s">
        <v>154</v>
      </c>
      <c r="B8">
        <v>1</v>
      </c>
      <c r="C8" s="122">
        <f>IF(OR(B8=1,G8&lt;&gt;4),0,IF(B8=MAX(A$16:A$28),(Budget!G23*(1+$F$14)*1.1)/MIN(M$17:M$27),(Budget!G23*(1+$F$14)*1.1)/VLOOKUP(B8,$A$16:$P$28,13,FALSE)))</f>
        <v>0</v>
      </c>
      <c r="D8" s="122" t="e">
        <f>C8/C$11</f>
        <v>#DIV/0!</v>
      </c>
      <c r="E8" s="129" t="e">
        <f>IF(B8=MAX(A$16:A$28),MIN(M$17:M$27),VLOOKUP(B8,$A$16:$M$28,13,FALSE))*D8</f>
        <v>#DIV/0!</v>
      </c>
      <c r="F8" s="129">
        <f>VLOOKUP(B8,$A$16:$M$28,12,FALSE)*C8</f>
        <v>0</v>
      </c>
      <c r="G8">
        <v>1</v>
      </c>
      <c r="H8" s="121" t="s">
        <v>136</v>
      </c>
    </row>
    <row r="9" spans="1:17" x14ac:dyDescent="0.2">
      <c r="A9" s="121" t="s">
        <v>155</v>
      </c>
      <c r="B9">
        <v>1</v>
      </c>
      <c r="C9" s="122">
        <f>Budget!D30</f>
        <v>0</v>
      </c>
      <c r="D9" s="122" t="e">
        <f>C9/C$11</f>
        <v>#DIV/0!</v>
      </c>
      <c r="E9" s="129" t="e">
        <f>IF(B9=MAX(A16:A28),(Budget!F30+Budget!F32+Budget!F33)*1.1,VLOOKUP(B9,$A$16:$M$28,13,FALSE))*D9</f>
        <v>#DIV/0!</v>
      </c>
      <c r="F9" s="129">
        <f>VLOOKUP(B9,$A$16:$M$28,12,FALSE)*C9</f>
        <v>0</v>
      </c>
      <c r="G9" s="224" t="s">
        <v>162</v>
      </c>
      <c r="H9" s="121" t="s">
        <v>163</v>
      </c>
    </row>
    <row r="10" spans="1:17" x14ac:dyDescent="0.2">
      <c r="A10" s="121" t="s">
        <v>156</v>
      </c>
      <c r="B10">
        <v>1</v>
      </c>
      <c r="C10" s="222">
        <f>Budget!D34</f>
        <v>0</v>
      </c>
      <c r="D10" s="222" t="e">
        <f>C10/C$11</f>
        <v>#DIV/0!</v>
      </c>
      <c r="E10" s="223" t="e">
        <f>IF(B10=MAX(A16:A28),(Budget!F34+Budget!F36+Budget!F37)*1.1,VLOOKUP(B10,$A$16:$M$28,13,FALSE))*D10</f>
        <v>#DIV/0!</v>
      </c>
      <c r="F10" s="223">
        <f>VLOOKUP(B10,$A$16:$M$28,12,FALSE)*C10</f>
        <v>0</v>
      </c>
      <c r="G10" s="224" t="s">
        <v>162</v>
      </c>
      <c r="H10" s="121"/>
    </row>
    <row r="11" spans="1:17" x14ac:dyDescent="0.2">
      <c r="C11" s="122">
        <f>SUM(C6:C10)</f>
        <v>0</v>
      </c>
      <c r="D11" s="122" t="e">
        <f>SUM(D6:D10)</f>
        <v>#DIV/0!</v>
      </c>
      <c r="E11" s="129" t="e">
        <f>SUM(E6:E10)</f>
        <v>#DIV/0!</v>
      </c>
      <c r="F11" s="129">
        <f>F6+F10</f>
        <v>0</v>
      </c>
      <c r="H11" s="121"/>
    </row>
    <row r="13" spans="1:17" x14ac:dyDescent="0.2">
      <c r="A13" s="121" t="s">
        <v>105</v>
      </c>
      <c r="H13" s="130"/>
    </row>
    <row r="14" spans="1:17" x14ac:dyDescent="0.2">
      <c r="B14" s="213" t="s">
        <v>121</v>
      </c>
      <c r="C14" s="121" t="s">
        <v>143</v>
      </c>
      <c r="E14" s="219" t="str">
        <f>C14&amp;" Benefits Rate"</f>
        <v>FY24  Benefits Rate</v>
      </c>
      <c r="F14" s="220">
        <v>0.29199999999999998</v>
      </c>
      <c r="I14" s="168"/>
      <c r="J14" s="168"/>
      <c r="K14" s="168"/>
      <c r="L14" s="168"/>
    </row>
    <row r="15" spans="1:17" ht="51" x14ac:dyDescent="0.2">
      <c r="A15" s="126" t="s">
        <v>98</v>
      </c>
      <c r="B15" s="127" t="s">
        <v>89</v>
      </c>
      <c r="C15" s="211" t="str">
        <f>$C$14&amp;" TUITION"</f>
        <v>FY24  TUITION</v>
      </c>
      <c r="D15" s="211" t="str">
        <f>$C$14&amp;" TECH FEE"</f>
        <v>FY24  TECH FEE</v>
      </c>
      <c r="E15" s="211" t="str">
        <f>$C$14&amp;" SHIP"</f>
        <v>FY24  SHIP</v>
      </c>
      <c r="F15" s="211" t="str">
        <f>$C$14&amp;" STIPEND"</f>
        <v>FY24  STIPEND</v>
      </c>
      <c r="G15" s="211" t="s">
        <v>114</v>
      </c>
      <c r="H15" s="128" t="s">
        <v>118</v>
      </c>
      <c r="I15" s="128" t="s">
        <v>119</v>
      </c>
      <c r="J15" s="128" t="s">
        <v>145</v>
      </c>
      <c r="K15" s="128" t="s">
        <v>122</v>
      </c>
      <c r="L15" s="128" t="s">
        <v>123</v>
      </c>
      <c r="M15" s="212" t="s">
        <v>120</v>
      </c>
      <c r="N15" s="128" t="s">
        <v>125</v>
      </c>
      <c r="O15" s="128" t="s">
        <v>124</v>
      </c>
      <c r="P15" s="128" t="s">
        <v>150</v>
      </c>
      <c r="Q15" s="228" t="s">
        <v>165</v>
      </c>
    </row>
    <row r="16" spans="1:17" x14ac:dyDescent="0.2">
      <c r="A16">
        <v>1</v>
      </c>
      <c r="B16" s="135" t="s">
        <v>106</v>
      </c>
      <c r="C16" s="129">
        <v>0</v>
      </c>
      <c r="D16" s="129">
        <v>0</v>
      </c>
      <c r="E16" s="129">
        <v>0</v>
      </c>
      <c r="F16" s="129">
        <v>0</v>
      </c>
      <c r="G16" s="129"/>
      <c r="H16" s="129">
        <f>(C16+D16)*0.68*(1+N16)</f>
        <v>0</v>
      </c>
      <c r="I16" s="129">
        <f>(C16+D16)*(1+N16)-H16</f>
        <v>0</v>
      </c>
      <c r="J16" s="129">
        <f>F16*(1+O16)</f>
        <v>0</v>
      </c>
      <c r="K16" s="129">
        <f>E16*(1+N16)</f>
        <v>0</v>
      </c>
      <c r="L16" s="129">
        <f>G16*1.03</f>
        <v>0</v>
      </c>
      <c r="M16" s="130">
        <f t="shared" ref="M16" si="0">(H16+K16+J16+L16)*1.1</f>
        <v>0</v>
      </c>
      <c r="N16" s="214"/>
      <c r="O16" s="214"/>
    </row>
    <row r="17" spans="1:19" x14ac:dyDescent="0.2">
      <c r="A17">
        <v>2</v>
      </c>
      <c r="B17" s="135" t="s">
        <v>91</v>
      </c>
      <c r="C17" s="129">
        <v>48250</v>
      </c>
      <c r="D17" s="129">
        <v>460</v>
      </c>
      <c r="E17" s="129">
        <v>2577</v>
      </c>
      <c r="F17" s="129">
        <v>34500</v>
      </c>
      <c r="G17" s="129"/>
      <c r="H17" s="129">
        <f t="shared" ref="H17:H27" si="1">(C17+D17)*0.68*(1+N17)</f>
        <v>34116.484000000004</v>
      </c>
      <c r="I17" s="129">
        <f t="shared" ref="I17:I27" si="2">(C17+D17)*(1+N17)-H17</f>
        <v>16054.815999999999</v>
      </c>
      <c r="J17" s="129">
        <f>IF(AND(Q17&lt;&gt;0,Q17&lt;&gt;""),Q17,F17*(1+O17))</f>
        <v>35535</v>
      </c>
      <c r="K17" s="129">
        <f>E17*(1+P17)</f>
        <v>2886.2400000000002</v>
      </c>
      <c r="L17" s="129">
        <f t="shared" ref="L17:L27" si="3">G17*1.03</f>
        <v>0</v>
      </c>
      <c r="M17" s="130">
        <f>(H17+K17+J17+L17)*1.1</f>
        <v>79791.496400000004</v>
      </c>
      <c r="N17" s="214">
        <v>0.03</v>
      </c>
      <c r="O17" s="214">
        <v>0.03</v>
      </c>
      <c r="P17" s="221">
        <v>0.12</v>
      </c>
      <c r="Q17" t="str">
        <f>IF($B$9=$A17,Budget!$C$32,IF($B$10=$A17,Budget!$C$36,""))</f>
        <v/>
      </c>
    </row>
    <row r="18" spans="1:19" x14ac:dyDescent="0.2">
      <c r="A18">
        <v>3</v>
      </c>
      <c r="B18" s="135" t="s">
        <v>90</v>
      </c>
      <c r="C18" s="129">
        <v>48250</v>
      </c>
      <c r="D18" s="129">
        <v>460</v>
      </c>
      <c r="E18" s="129">
        <v>2577</v>
      </c>
      <c r="F18" s="129">
        <v>34500</v>
      </c>
      <c r="G18" s="129"/>
      <c r="H18" s="129">
        <f t="shared" si="1"/>
        <v>34116.484000000004</v>
      </c>
      <c r="I18" s="129">
        <f t="shared" si="2"/>
        <v>16054.815999999999</v>
      </c>
      <c r="J18" s="129">
        <f t="shared" ref="J18:J27" si="4">IF(AND(Q18&lt;&gt;0,Q18&lt;&gt;""),Q18,F18*(1+O18))</f>
        <v>35535</v>
      </c>
      <c r="K18" s="129">
        <f t="shared" ref="K18:K26" si="5">E18*(1+P18)</f>
        <v>2886.2400000000002</v>
      </c>
      <c r="L18" s="129">
        <f t="shared" si="3"/>
        <v>0</v>
      </c>
      <c r="M18" s="130">
        <f t="shared" ref="M18:M27" si="6">(H18+K18+J18+L18)*1.1</f>
        <v>79791.496400000004</v>
      </c>
      <c r="N18" s="214">
        <v>0.03</v>
      </c>
      <c r="O18" s="214">
        <v>0.03</v>
      </c>
      <c r="P18" s="221">
        <v>0.12</v>
      </c>
      <c r="Q18" t="str">
        <f>IF($B$9=$A18,Budget!$C$32,IF($B$10=$A18,Budget!$C$36,""))</f>
        <v/>
      </c>
      <c r="R18" s="168"/>
      <c r="S18" s="168"/>
    </row>
    <row r="19" spans="1:19" x14ac:dyDescent="0.2">
      <c r="A19">
        <v>4</v>
      </c>
      <c r="B19" s="135" t="s">
        <v>96</v>
      </c>
      <c r="C19" s="129">
        <v>48250</v>
      </c>
      <c r="D19" s="129">
        <v>460</v>
      </c>
      <c r="E19" s="129">
        <v>2577</v>
      </c>
      <c r="F19" s="129">
        <v>35000</v>
      </c>
      <c r="G19" s="129"/>
      <c r="H19" s="129">
        <f t="shared" si="1"/>
        <v>34116.484000000004</v>
      </c>
      <c r="I19" s="129">
        <f t="shared" si="2"/>
        <v>16054.815999999999</v>
      </c>
      <c r="J19" s="129">
        <f t="shared" si="4"/>
        <v>36050</v>
      </c>
      <c r="K19" s="129">
        <f t="shared" si="5"/>
        <v>2886.2400000000002</v>
      </c>
      <c r="L19" s="129">
        <f t="shared" si="3"/>
        <v>0</v>
      </c>
      <c r="M19" s="130">
        <f t="shared" si="6"/>
        <v>80357.996400000004</v>
      </c>
      <c r="N19" s="214">
        <v>0.03</v>
      </c>
      <c r="O19" s="214">
        <v>0.03</v>
      </c>
      <c r="P19" s="221">
        <v>0.12</v>
      </c>
      <c r="Q19" t="str">
        <f>IF($B$9=$A19,Budget!$C$32,IF($B$10=$A19,Budget!$C$36,""))</f>
        <v/>
      </c>
      <c r="R19" s="168"/>
      <c r="S19" s="168"/>
    </row>
    <row r="20" spans="1:19" x14ac:dyDescent="0.2">
      <c r="A20">
        <v>5</v>
      </c>
      <c r="B20" s="135" t="s">
        <v>92</v>
      </c>
      <c r="C20" s="129">
        <v>48250</v>
      </c>
      <c r="D20" s="129">
        <v>460</v>
      </c>
      <c r="E20" s="129">
        <v>2577</v>
      </c>
      <c r="F20" s="129">
        <v>39960</v>
      </c>
      <c r="G20" s="129"/>
      <c r="H20" s="129">
        <f t="shared" si="1"/>
        <v>34116.484000000004</v>
      </c>
      <c r="I20" s="129">
        <f t="shared" si="2"/>
        <v>16054.815999999999</v>
      </c>
      <c r="J20" s="129">
        <f t="shared" si="4"/>
        <v>41158.800000000003</v>
      </c>
      <c r="K20" s="129">
        <f t="shared" si="5"/>
        <v>2886.2400000000002</v>
      </c>
      <c r="L20" s="129">
        <f t="shared" si="3"/>
        <v>0</v>
      </c>
      <c r="M20" s="130">
        <f t="shared" si="6"/>
        <v>85977.676400000011</v>
      </c>
      <c r="N20" s="214">
        <v>0.03</v>
      </c>
      <c r="O20" s="214">
        <v>0.03</v>
      </c>
      <c r="P20" s="221">
        <v>0.12</v>
      </c>
      <c r="Q20" t="str">
        <f>IF($B$9=$A20,Budget!$C$32,IF($B$10=$A20,Budget!$C$36,""))</f>
        <v/>
      </c>
      <c r="R20" s="168"/>
      <c r="S20" s="168"/>
    </row>
    <row r="21" spans="1:19" x14ac:dyDescent="0.2">
      <c r="A21">
        <v>6</v>
      </c>
      <c r="B21" s="135" t="s">
        <v>93</v>
      </c>
      <c r="C21" s="129">
        <v>48250</v>
      </c>
      <c r="D21" s="129">
        <v>460</v>
      </c>
      <c r="E21" s="129">
        <v>2577</v>
      </c>
      <c r="F21" s="129">
        <v>34500</v>
      </c>
      <c r="G21" s="129"/>
      <c r="H21" s="129">
        <f t="shared" si="1"/>
        <v>34116.484000000004</v>
      </c>
      <c r="I21" s="129">
        <f t="shared" si="2"/>
        <v>16054.815999999999</v>
      </c>
      <c r="J21" s="129">
        <f t="shared" si="4"/>
        <v>35535</v>
      </c>
      <c r="K21" s="129">
        <f t="shared" si="5"/>
        <v>2886.2400000000002</v>
      </c>
      <c r="L21" s="129">
        <f t="shared" si="3"/>
        <v>0</v>
      </c>
      <c r="M21" s="130">
        <f t="shared" si="6"/>
        <v>79791.496400000004</v>
      </c>
      <c r="N21" s="214">
        <v>0.03</v>
      </c>
      <c r="O21" s="214">
        <v>0.03</v>
      </c>
      <c r="P21" s="221">
        <v>0.12</v>
      </c>
      <c r="Q21" t="str">
        <f>IF($B$9=$A21,Budget!$C$32,IF($B$10=$A21,Budget!$C$36,""))</f>
        <v/>
      </c>
      <c r="R21" s="168"/>
      <c r="S21" s="168"/>
    </row>
    <row r="22" spans="1:19" x14ac:dyDescent="0.2">
      <c r="A22">
        <v>7</v>
      </c>
      <c r="B22" s="135" t="s">
        <v>94</v>
      </c>
      <c r="C22" s="129">
        <v>48250</v>
      </c>
      <c r="D22" s="129">
        <v>460</v>
      </c>
      <c r="E22" s="129">
        <v>2577</v>
      </c>
      <c r="F22" s="129">
        <v>34500</v>
      </c>
      <c r="G22" s="129"/>
      <c r="H22" s="129">
        <f t="shared" si="1"/>
        <v>34116.484000000004</v>
      </c>
      <c r="I22" s="129">
        <f t="shared" si="2"/>
        <v>16054.815999999999</v>
      </c>
      <c r="J22" s="129">
        <f t="shared" si="4"/>
        <v>35535</v>
      </c>
      <c r="K22" s="129">
        <f t="shared" si="5"/>
        <v>2886.2400000000002</v>
      </c>
      <c r="L22" s="129">
        <f t="shared" si="3"/>
        <v>0</v>
      </c>
      <c r="M22" s="130">
        <f t="shared" si="6"/>
        <v>79791.496400000004</v>
      </c>
      <c r="N22" s="214">
        <v>0.03</v>
      </c>
      <c r="O22" s="214">
        <v>0.03</v>
      </c>
      <c r="P22" s="221">
        <v>0.12</v>
      </c>
      <c r="Q22" t="str">
        <f>IF($B$9=$A22,Budget!$C$32,IF($B$10=$A22,Budget!$C$36,""))</f>
        <v/>
      </c>
      <c r="R22" s="168"/>
      <c r="S22" s="168"/>
    </row>
    <row r="23" spans="1:19" x14ac:dyDescent="0.2">
      <c r="A23">
        <v>8</v>
      </c>
      <c r="B23" s="135" t="s">
        <v>95</v>
      </c>
      <c r="C23" s="129">
        <v>48250</v>
      </c>
      <c r="D23" s="129">
        <v>460</v>
      </c>
      <c r="E23" s="129">
        <v>2577</v>
      </c>
      <c r="F23" s="129">
        <v>34650</v>
      </c>
      <c r="G23" s="129"/>
      <c r="H23" s="129">
        <f t="shared" si="1"/>
        <v>34116.484000000004</v>
      </c>
      <c r="I23" s="129">
        <f t="shared" si="2"/>
        <v>16054.815999999999</v>
      </c>
      <c r="J23" s="129">
        <f t="shared" si="4"/>
        <v>35689.5</v>
      </c>
      <c r="K23" s="129">
        <f t="shared" si="5"/>
        <v>2886.2400000000002</v>
      </c>
      <c r="L23" s="129">
        <f t="shared" si="3"/>
        <v>0</v>
      </c>
      <c r="M23" s="130">
        <f t="shared" si="6"/>
        <v>79961.446400000015</v>
      </c>
      <c r="N23" s="214">
        <v>0.03</v>
      </c>
      <c r="O23" s="214">
        <v>0.03</v>
      </c>
      <c r="P23" s="221">
        <v>0.12</v>
      </c>
      <c r="Q23" t="str">
        <f>IF($B$9=$A23,Budget!$C$32,IF($B$10=$A23,Budget!$C$36,""))</f>
        <v/>
      </c>
      <c r="R23" s="168"/>
      <c r="S23" s="168"/>
    </row>
    <row r="24" spans="1:19" x14ac:dyDescent="0.2">
      <c r="A24">
        <v>9</v>
      </c>
      <c r="B24" s="135" t="s">
        <v>115</v>
      </c>
      <c r="C24" s="129">
        <v>48744</v>
      </c>
      <c r="D24" s="129">
        <v>460</v>
      </c>
      <c r="E24" s="129">
        <v>2577</v>
      </c>
      <c r="F24" s="129">
        <v>39960</v>
      </c>
      <c r="G24" s="129">
        <f>(C24+F24+E24)*0.0123</f>
        <v>1122.7563</v>
      </c>
      <c r="H24" s="129">
        <f t="shared" si="1"/>
        <v>34462.481599999999</v>
      </c>
      <c r="I24" s="129">
        <f t="shared" si="2"/>
        <v>16217.638400000003</v>
      </c>
      <c r="J24" s="129">
        <f t="shared" si="4"/>
        <v>41158.800000000003</v>
      </c>
      <c r="K24" s="129">
        <f t="shared" si="5"/>
        <v>2886.2400000000002</v>
      </c>
      <c r="L24" s="129">
        <f>((C24+E24)*(1+N24)+F24*(1+O24))*0.0123</f>
        <v>1156.4389890000002</v>
      </c>
      <c r="M24" s="130">
        <f t="shared" si="6"/>
        <v>87630.356647900015</v>
      </c>
      <c r="N24" s="214">
        <v>0.03</v>
      </c>
      <c r="O24" s="214">
        <v>0.03</v>
      </c>
      <c r="P24" s="221">
        <v>0.12</v>
      </c>
      <c r="Q24" t="str">
        <f>IF($B$9=$A24,Budget!$C$32,IF($B$10=$A24,Budget!$C$36,""))</f>
        <v/>
      </c>
      <c r="R24" s="168"/>
      <c r="S24" s="168"/>
    </row>
    <row r="25" spans="1:19" x14ac:dyDescent="0.2">
      <c r="A25">
        <v>10</v>
      </c>
      <c r="B25" s="135" t="s">
        <v>126</v>
      </c>
      <c r="C25" s="129">
        <v>48744</v>
      </c>
      <c r="D25" s="129">
        <v>460</v>
      </c>
      <c r="E25" s="129">
        <v>2577</v>
      </c>
      <c r="F25" s="129">
        <v>39960</v>
      </c>
      <c r="G25" s="129">
        <f>(C25+F25+E25)*0.0123</f>
        <v>1122.7563</v>
      </c>
      <c r="H25" s="129">
        <f t="shared" ref="H25" si="7">(C25+D25)*0.68*(1+N25)</f>
        <v>34462.481599999999</v>
      </c>
      <c r="I25" s="129">
        <f t="shared" ref="I25" si="8">(C25+D25)*(1+N25)-H25</f>
        <v>16217.638400000003</v>
      </c>
      <c r="J25" s="129">
        <f t="shared" si="4"/>
        <v>41158.800000000003</v>
      </c>
      <c r="K25" s="129">
        <f t="shared" si="5"/>
        <v>2886.2400000000002</v>
      </c>
      <c r="L25" s="129">
        <f>((C25+E25)*(1+N25)+F25*(1+O25))*0.0123</f>
        <v>1156.4389890000002</v>
      </c>
      <c r="M25" s="130">
        <f t="shared" ref="M25" si="9">(H25+K25+J25+L25)*1.1</f>
        <v>87630.356647900015</v>
      </c>
      <c r="N25" s="214">
        <v>0.03</v>
      </c>
      <c r="O25" s="214">
        <v>0.03</v>
      </c>
      <c r="P25" s="221">
        <v>0.12</v>
      </c>
      <c r="Q25" t="str">
        <f>IF($B$9=$A25,Budget!$C$32,IF($B$10=$A25,Budget!$C$36,""))</f>
        <v/>
      </c>
      <c r="R25" s="168"/>
      <c r="S25" s="168"/>
    </row>
    <row r="26" spans="1:19" x14ac:dyDescent="0.2">
      <c r="A26">
        <v>11</v>
      </c>
      <c r="B26" s="135" t="s">
        <v>116</v>
      </c>
      <c r="C26" s="129">
        <v>49264</v>
      </c>
      <c r="D26" s="129">
        <v>460</v>
      </c>
      <c r="E26" s="129">
        <v>2577</v>
      </c>
      <c r="F26" s="129">
        <v>32400</v>
      </c>
      <c r="G26" s="129"/>
      <c r="H26" s="129">
        <f t="shared" si="1"/>
        <v>34826.689599999998</v>
      </c>
      <c r="I26" s="129">
        <f t="shared" si="2"/>
        <v>16389.030400000003</v>
      </c>
      <c r="J26" s="129">
        <f t="shared" si="4"/>
        <v>33372</v>
      </c>
      <c r="K26" s="129">
        <f t="shared" si="5"/>
        <v>2886.2400000000002</v>
      </c>
      <c r="L26" s="129">
        <f t="shared" si="3"/>
        <v>0</v>
      </c>
      <c r="M26" s="130">
        <f t="shared" si="6"/>
        <v>78193.422560000006</v>
      </c>
      <c r="N26" s="214">
        <v>0.03</v>
      </c>
      <c r="O26" s="214">
        <v>0.03</v>
      </c>
      <c r="P26" s="221">
        <v>0.12</v>
      </c>
      <c r="Q26" t="str">
        <f>IF($B$9=$A26,Budget!$C$32,IF($B$10=$A26,Budget!$C$36,""))</f>
        <v/>
      </c>
      <c r="R26" s="168"/>
      <c r="S26" s="168"/>
    </row>
    <row r="27" spans="1:19" x14ac:dyDescent="0.2">
      <c r="A27">
        <v>12</v>
      </c>
      <c r="B27" s="135" t="s">
        <v>117</v>
      </c>
      <c r="C27" s="129">
        <v>54110</v>
      </c>
      <c r="D27" s="129">
        <v>0</v>
      </c>
      <c r="E27" s="129">
        <v>0</v>
      </c>
      <c r="F27" s="129">
        <v>40667</v>
      </c>
      <c r="G27" s="129"/>
      <c r="H27" s="129">
        <f t="shared" si="1"/>
        <v>37898.644000000008</v>
      </c>
      <c r="I27" s="129">
        <f t="shared" si="2"/>
        <v>17834.655999999995</v>
      </c>
      <c r="J27" s="129">
        <f t="shared" si="4"/>
        <v>41887.01</v>
      </c>
      <c r="K27" s="129">
        <f t="shared" ref="K27" si="10">E27*(1+N27)</f>
        <v>0</v>
      </c>
      <c r="L27" s="129">
        <f t="shared" si="3"/>
        <v>0</v>
      </c>
      <c r="M27" s="130">
        <f t="shared" si="6"/>
        <v>87764.219400000016</v>
      </c>
      <c r="N27" s="214">
        <v>0.03</v>
      </c>
      <c r="O27" s="214">
        <v>0.03</v>
      </c>
      <c r="P27" s="221">
        <v>0.12</v>
      </c>
      <c r="Q27" t="str">
        <f>IF($B$9=$A27,Budget!$C$32,IF($B$10=$A27,Budget!$C$36,""))</f>
        <v/>
      </c>
      <c r="R27" s="168"/>
      <c r="S27" s="168"/>
    </row>
    <row r="28" spans="1:19" x14ac:dyDescent="0.2">
      <c r="A28">
        <v>13</v>
      </c>
      <c r="B28" s="135" t="s">
        <v>104</v>
      </c>
      <c r="F28" s="130"/>
      <c r="N28" s="122"/>
      <c r="O28" s="122"/>
    </row>
    <row r="29" spans="1:19" x14ac:dyDescent="0.2">
      <c r="B29" s="121"/>
      <c r="G29" s="121" t="s">
        <v>144</v>
      </c>
    </row>
    <row r="30" spans="1:19" x14ac:dyDescent="0.2">
      <c r="B30" s="121"/>
      <c r="G30" s="121" t="s">
        <v>146</v>
      </c>
      <c r="M30" s="168"/>
      <c r="N30" s="168"/>
    </row>
    <row r="31" spans="1:19" x14ac:dyDescent="0.2">
      <c r="B31" s="121"/>
      <c r="G31" s="121" t="s">
        <v>141</v>
      </c>
    </row>
    <row r="32" spans="1:19" x14ac:dyDescent="0.2">
      <c r="B32" s="215" t="s">
        <v>140</v>
      </c>
      <c r="C32" s="216"/>
      <c r="D32" s="216"/>
      <c r="E32" s="216"/>
      <c r="F32" s="216"/>
      <c r="G32" s="217"/>
      <c r="H32" s="217"/>
      <c r="I32" s="217"/>
      <c r="J32" s="218"/>
    </row>
    <row r="33" spans="1:13" x14ac:dyDescent="0.2">
      <c r="B33" s="121"/>
      <c r="C33" s="121" t="s">
        <v>137</v>
      </c>
      <c r="J33" s="130"/>
    </row>
    <row r="34" spans="1:13" x14ac:dyDescent="0.2">
      <c r="B34" s="121"/>
      <c r="C34" s="121" t="s">
        <v>138</v>
      </c>
      <c r="J34" s="168"/>
    </row>
    <row r="35" spans="1:13" x14ac:dyDescent="0.2">
      <c r="C35" s="121" t="s">
        <v>139</v>
      </c>
      <c r="G35" s="129"/>
      <c r="H35" s="129"/>
      <c r="I35" s="129"/>
      <c r="J35" s="130"/>
      <c r="K35" s="168"/>
      <c r="L35" s="130"/>
      <c r="M35" s="168"/>
    </row>
    <row r="36" spans="1:13" x14ac:dyDescent="0.2">
      <c r="C36" s="121" t="s">
        <v>142</v>
      </c>
      <c r="H36" s="129"/>
      <c r="I36" s="129"/>
      <c r="J36" s="130"/>
      <c r="K36" s="168"/>
      <c r="L36" s="130"/>
      <c r="M36" s="168"/>
    </row>
    <row r="38" spans="1:13" x14ac:dyDescent="0.2">
      <c r="B38" s="121" t="s">
        <v>108</v>
      </c>
      <c r="K38" s="168"/>
      <c r="L38" s="168"/>
      <c r="M38" s="168"/>
    </row>
    <row r="39" spans="1:13" x14ac:dyDescent="0.2">
      <c r="B39">
        <v>204</v>
      </c>
    </row>
    <row r="40" spans="1:13" x14ac:dyDescent="0.2">
      <c r="B40">
        <v>255</v>
      </c>
    </row>
    <row r="41" spans="1:13" x14ac:dyDescent="0.2">
      <c r="B41">
        <v>255</v>
      </c>
    </row>
    <row r="43" spans="1:13" x14ac:dyDescent="0.2">
      <c r="A43" s="125" t="s">
        <v>98</v>
      </c>
      <c r="B43" s="125" t="s">
        <v>159</v>
      </c>
    </row>
    <row r="44" spans="1:13" x14ac:dyDescent="0.2">
      <c r="A44">
        <v>1</v>
      </c>
      <c r="B44" s="135" t="s">
        <v>106</v>
      </c>
    </row>
    <row r="45" spans="1:13" x14ac:dyDescent="0.2">
      <c r="A45">
        <v>2</v>
      </c>
      <c r="B45" s="135" t="s">
        <v>157</v>
      </c>
    </row>
    <row r="46" spans="1:13" x14ac:dyDescent="0.2">
      <c r="A46">
        <v>3</v>
      </c>
      <c r="B46" s="135" t="s">
        <v>161</v>
      </c>
    </row>
    <row r="47" spans="1:13" x14ac:dyDescent="0.2">
      <c r="A47">
        <v>4</v>
      </c>
      <c r="B47" s="135" t="s">
        <v>158</v>
      </c>
    </row>
    <row r="48" spans="1:13" x14ac:dyDescent="0.2">
      <c r="B48" s="135"/>
    </row>
    <row r="69" spans="2:13" ht="51" x14ac:dyDescent="0.2">
      <c r="B69" s="127" t="s">
        <v>89</v>
      </c>
      <c r="C69" s="211" t="str">
        <f>$C$14&amp;" TUITION"</f>
        <v>FY24  TUITION</v>
      </c>
      <c r="D69" s="211" t="str">
        <f>$C$14&amp;" TECH FEE"</f>
        <v>FY24  TECH FEE</v>
      </c>
      <c r="E69" s="211" t="str">
        <f>$C$14&amp;" SHIP"</f>
        <v>FY24  SHIP</v>
      </c>
      <c r="F69" s="211" t="str">
        <f>$C$14&amp;" STIPEND"</f>
        <v>FY24  STIPEND</v>
      </c>
      <c r="G69" s="211" t="s">
        <v>114</v>
      </c>
      <c r="H69" s="128" t="s">
        <v>118</v>
      </c>
      <c r="I69" s="128" t="s">
        <v>119</v>
      </c>
      <c r="J69" s="128" t="s">
        <v>145</v>
      </c>
      <c r="K69" s="128" t="s">
        <v>122</v>
      </c>
      <c r="L69" s="128" t="s">
        <v>123</v>
      </c>
      <c r="M69" s="212" t="s">
        <v>120</v>
      </c>
    </row>
    <row r="70" spans="2:13" x14ac:dyDescent="0.2">
      <c r="B70" t="s">
        <v>91</v>
      </c>
      <c r="C70" s="129">
        <v>48250</v>
      </c>
      <c r="D70" s="129">
        <v>460</v>
      </c>
      <c r="E70" s="129">
        <v>2577</v>
      </c>
      <c r="F70" s="129">
        <v>34500</v>
      </c>
      <c r="G70" s="129"/>
      <c r="H70" s="129">
        <v>34116.484000000004</v>
      </c>
      <c r="I70" s="129">
        <v>16054.815999999999</v>
      </c>
      <c r="J70" s="129">
        <v>35535</v>
      </c>
      <c r="K70" s="129">
        <v>2886.2400000000002</v>
      </c>
      <c r="L70" s="129">
        <v>0</v>
      </c>
      <c r="M70" s="129">
        <v>79791.496400000004</v>
      </c>
    </row>
    <row r="71" spans="2:13" x14ac:dyDescent="0.2">
      <c r="B71" t="s">
        <v>90</v>
      </c>
      <c r="C71" s="129">
        <v>48250</v>
      </c>
      <c r="D71" s="129">
        <v>460</v>
      </c>
      <c r="E71" s="129">
        <v>2577</v>
      </c>
      <c r="F71" s="129">
        <v>34500</v>
      </c>
      <c r="G71" s="129"/>
      <c r="H71" s="129">
        <v>34116.484000000004</v>
      </c>
      <c r="I71" s="129">
        <v>16054.815999999999</v>
      </c>
      <c r="J71" s="129">
        <v>35535</v>
      </c>
      <c r="K71" s="129">
        <v>2886.2400000000002</v>
      </c>
      <c r="L71" s="129">
        <v>0</v>
      </c>
      <c r="M71" s="129">
        <v>79791.496400000004</v>
      </c>
    </row>
    <row r="72" spans="2:13" x14ac:dyDescent="0.2">
      <c r="B72" t="s">
        <v>96</v>
      </c>
      <c r="C72" s="129">
        <v>48250</v>
      </c>
      <c r="D72" s="129">
        <v>460</v>
      </c>
      <c r="E72" s="129">
        <v>2577</v>
      </c>
      <c r="F72" s="129">
        <v>35000</v>
      </c>
      <c r="G72" s="129"/>
      <c r="H72" s="129">
        <v>34116.484000000004</v>
      </c>
      <c r="I72" s="129">
        <v>16054.815999999999</v>
      </c>
      <c r="J72" s="129">
        <v>36050</v>
      </c>
      <c r="K72" s="129">
        <v>2886.2400000000002</v>
      </c>
      <c r="L72" s="129">
        <v>0</v>
      </c>
      <c r="M72" s="129">
        <v>80357.996400000004</v>
      </c>
    </row>
    <row r="73" spans="2:13" x14ac:dyDescent="0.2">
      <c r="B73" t="s">
        <v>92</v>
      </c>
      <c r="C73" s="129">
        <v>48250</v>
      </c>
      <c r="D73" s="129">
        <v>460</v>
      </c>
      <c r="E73" s="129">
        <v>2577</v>
      </c>
      <c r="F73" s="129">
        <v>39960</v>
      </c>
      <c r="G73" s="129"/>
      <c r="H73" s="129">
        <v>34116.484000000004</v>
      </c>
      <c r="I73" s="129">
        <v>16054.815999999999</v>
      </c>
      <c r="J73" s="129">
        <v>41158.800000000003</v>
      </c>
      <c r="K73" s="129">
        <v>2886.2400000000002</v>
      </c>
      <c r="L73" s="129">
        <v>0</v>
      </c>
      <c r="M73" s="129">
        <v>85977.676400000011</v>
      </c>
    </row>
    <row r="74" spans="2:13" x14ac:dyDescent="0.2">
      <c r="B74" t="s">
        <v>93</v>
      </c>
      <c r="C74" s="129">
        <v>48250</v>
      </c>
      <c r="D74" s="129">
        <v>460</v>
      </c>
      <c r="E74" s="129">
        <v>2577</v>
      </c>
      <c r="F74" s="129">
        <v>34500</v>
      </c>
      <c r="G74" s="129"/>
      <c r="H74" s="129">
        <v>34116.484000000004</v>
      </c>
      <c r="I74" s="129">
        <v>16054.815999999999</v>
      </c>
      <c r="J74" s="129">
        <v>35535</v>
      </c>
      <c r="K74" s="129">
        <v>2886.2400000000002</v>
      </c>
      <c r="L74" s="129">
        <v>0</v>
      </c>
      <c r="M74" s="129">
        <v>79791.496400000004</v>
      </c>
    </row>
    <row r="75" spans="2:13" x14ac:dyDescent="0.2">
      <c r="B75" t="s">
        <v>94</v>
      </c>
      <c r="C75" s="129">
        <v>48250</v>
      </c>
      <c r="D75" s="129">
        <v>460</v>
      </c>
      <c r="E75" s="129">
        <v>2577</v>
      </c>
      <c r="F75" s="129">
        <v>34500</v>
      </c>
      <c r="G75" s="129"/>
      <c r="H75" s="129">
        <v>34116.484000000004</v>
      </c>
      <c r="I75" s="129">
        <v>16054.815999999999</v>
      </c>
      <c r="J75" s="129">
        <v>35535</v>
      </c>
      <c r="K75" s="129">
        <v>2886.2400000000002</v>
      </c>
      <c r="L75" s="129">
        <v>0</v>
      </c>
      <c r="M75" s="129">
        <v>79791.496400000004</v>
      </c>
    </row>
    <row r="76" spans="2:13" x14ac:dyDescent="0.2">
      <c r="B76" t="s">
        <v>95</v>
      </c>
      <c r="C76" s="129">
        <v>48250</v>
      </c>
      <c r="D76" s="129">
        <v>460</v>
      </c>
      <c r="E76" s="129">
        <v>2577</v>
      </c>
      <c r="F76" s="129">
        <v>34650</v>
      </c>
      <c r="G76" s="129"/>
      <c r="H76" s="129">
        <v>34116.484000000004</v>
      </c>
      <c r="I76" s="129">
        <v>16054.815999999999</v>
      </c>
      <c r="J76" s="129">
        <v>35689.5</v>
      </c>
      <c r="K76" s="129">
        <v>2886.2400000000002</v>
      </c>
      <c r="L76" s="129">
        <v>0</v>
      </c>
      <c r="M76" s="129">
        <v>79961.446400000015</v>
      </c>
    </row>
    <row r="77" spans="2:13" x14ac:dyDescent="0.2">
      <c r="B77" t="s">
        <v>115</v>
      </c>
      <c r="C77" s="129">
        <v>48744</v>
      </c>
      <c r="D77" s="129">
        <v>460</v>
      </c>
      <c r="E77" s="129">
        <v>2577</v>
      </c>
      <c r="F77" s="129">
        <v>39960</v>
      </c>
      <c r="G77" s="129">
        <v>1122.7563</v>
      </c>
      <c r="H77" s="129">
        <v>34462.481599999999</v>
      </c>
      <c r="I77" s="129">
        <v>16217.638400000003</v>
      </c>
      <c r="J77" s="129">
        <v>41158.800000000003</v>
      </c>
      <c r="K77" s="129">
        <v>2886.2400000000002</v>
      </c>
      <c r="L77" s="129">
        <v>1156.4389890000002</v>
      </c>
      <c r="M77" s="129">
        <v>87630.356647900015</v>
      </c>
    </row>
    <row r="78" spans="2:13" x14ac:dyDescent="0.2">
      <c r="B78" t="s">
        <v>126</v>
      </c>
      <c r="C78" s="129">
        <v>48744</v>
      </c>
      <c r="D78" s="129">
        <v>460</v>
      </c>
      <c r="E78" s="129">
        <v>2577</v>
      </c>
      <c r="F78" s="129">
        <v>39960</v>
      </c>
      <c r="G78" s="129">
        <v>1122.7563</v>
      </c>
      <c r="H78" s="129">
        <v>34462.481599999999</v>
      </c>
      <c r="I78" s="129">
        <v>16217.638400000003</v>
      </c>
      <c r="J78" s="129">
        <v>41158.800000000003</v>
      </c>
      <c r="K78" s="129">
        <v>2886.2400000000002</v>
      </c>
      <c r="L78" s="129">
        <v>1156.4389890000002</v>
      </c>
      <c r="M78" s="129">
        <v>87630.356647900015</v>
      </c>
    </row>
    <row r="79" spans="2:13" x14ac:dyDescent="0.2">
      <c r="B79" t="s">
        <v>116</v>
      </c>
      <c r="C79" s="129">
        <v>49264</v>
      </c>
      <c r="D79" s="129">
        <v>460</v>
      </c>
      <c r="E79" s="129">
        <v>2577</v>
      </c>
      <c r="F79" s="129">
        <v>32400</v>
      </c>
      <c r="G79" s="129"/>
      <c r="H79" s="129">
        <v>34826.689599999998</v>
      </c>
      <c r="I79" s="129">
        <v>16389.030400000003</v>
      </c>
      <c r="J79" s="129">
        <v>33372</v>
      </c>
      <c r="K79" s="129">
        <v>2886.2400000000002</v>
      </c>
      <c r="L79" s="129">
        <v>0</v>
      </c>
      <c r="M79" s="129">
        <v>78193.422560000006</v>
      </c>
    </row>
    <row r="80" spans="2:13" x14ac:dyDescent="0.2">
      <c r="B80" t="s">
        <v>117</v>
      </c>
      <c r="C80" s="129">
        <v>54110</v>
      </c>
      <c r="D80" s="129">
        <v>0</v>
      </c>
      <c r="E80" s="129">
        <v>0</v>
      </c>
      <c r="F80" s="129">
        <v>40667</v>
      </c>
      <c r="G80" s="129"/>
      <c r="H80" s="129">
        <v>37898.644000000008</v>
      </c>
      <c r="I80" s="129">
        <v>17834.655999999995</v>
      </c>
      <c r="J80" s="129">
        <v>41887.01</v>
      </c>
      <c r="K80" s="129">
        <v>0</v>
      </c>
      <c r="L80" s="129">
        <v>0</v>
      </c>
      <c r="M80" s="129">
        <v>87764.219400000016</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 Signature(s) Required</vt:lpstr>
      <vt:lpstr>Budget</vt:lpstr>
      <vt:lpstr>Rates and Calcs</vt:lpstr>
      <vt:lpstr>Budget!Print_Area</vt:lpstr>
      <vt:lpstr>'Cover - Signature(s) Required'!Print_Area</vt:lpstr>
    </vt:vector>
  </TitlesOfParts>
  <Company>CMU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Moyer</dc:creator>
  <cp:lastModifiedBy>dd03</cp:lastModifiedBy>
  <cp:lastPrinted>2024-01-29T16:32:08Z</cp:lastPrinted>
  <dcterms:created xsi:type="dcterms:W3CDTF">2002-08-26T18:05:38Z</dcterms:created>
  <dcterms:modified xsi:type="dcterms:W3CDTF">2024-01-29T22:08:01Z</dcterms:modified>
</cp:coreProperties>
</file>